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405" firstSheet="6" activeTab="6"/>
  </bookViews>
  <sheets>
    <sheet name="úvod" sheetId="1" r:id="rId1"/>
    <sheet name="sez" sheetId="2" r:id="rId2"/>
    <sheet name="debl" sheetId="3" r:id="rId3"/>
    <sheet name="1.st. M" sheetId="4" r:id="rId4"/>
    <sheet name="1.st. Ž" sheetId="5" r:id="rId5"/>
    <sheet name="MIX" sheetId="6" r:id="rId6"/>
    <sheet name="výs MIX" sheetId="7" r:id="rId7"/>
    <sheet name="2.st. M" sheetId="8" r:id="rId8"/>
    <sheet name="výs 2.st M" sheetId="9" r:id="rId9"/>
    <sheet name="2.st. Ž" sheetId="10" r:id="rId10"/>
    <sheet name="výs 2st. Ž" sheetId="11" r:id="rId11"/>
    <sheet name="čt. Ž" sheetId="12" r:id="rId12"/>
    <sheet name="výs čt. Ž" sheetId="13" r:id="rId13"/>
    <sheet name="čt. M" sheetId="14" r:id="rId14"/>
    <sheet name="výs čt. M" sheetId="15" r:id="rId15"/>
    <sheet name="Z-singl" sheetId="16" r:id="rId16"/>
    <sheet name="T-singl" sheetId="17" r:id="rId17"/>
    <sheet name="Z-debl" sheetId="18" r:id="rId18"/>
    <sheet name="T-debl" sheetId="19" r:id="rId19"/>
  </sheets>
  <externalReferences>
    <externalReference r:id="rId22"/>
  </externalReferences>
  <definedNames>
    <definedName name="_xlfn.CONCAT" hidden="1">#NAME?</definedName>
    <definedName name="_xlnm.Print_Titles" localSheetId="1">'sez'!$1:$1</definedName>
    <definedName name="_xlnm.Print_Area" localSheetId="3">'1.st. M'!$A$1:$K$58</definedName>
    <definedName name="_xlnm.Print_Area" localSheetId="4">'1.st. Ž'!$A$1:$K$31</definedName>
    <definedName name="_xlnm.Print_Area" localSheetId="9">'2.st. Ž'!$A$1:$G$19</definedName>
    <definedName name="_xlnm.Print_Area" localSheetId="13">'čt. M'!$A$1:$H$67</definedName>
    <definedName name="_xlnm.Print_Area" localSheetId="11">'čt. Ž'!$A$1:$H$70</definedName>
    <definedName name="_xlnm.Print_Area" localSheetId="5">'MIX'!$A$1:$H$69</definedName>
    <definedName name="_xlnm.Print_Area" localSheetId="18">'T-debl'!$A$1:$M$53</definedName>
    <definedName name="_xlnm.Print_Area" localSheetId="16">'T-singl'!$A$1:$M$47</definedName>
  </definedNames>
  <calcPr fullCalcOnLoad="1"/>
</workbook>
</file>

<file path=xl/sharedStrings.xml><?xml version="1.0" encoding="utf-8"?>
<sst xmlns="http://schemas.openxmlformats.org/spreadsheetml/2006/main" count="1168" uniqueCount="148">
  <si>
    <t>číslo</t>
  </si>
  <si>
    <t>hráč1</t>
  </si>
  <si>
    <t>klub</t>
  </si>
  <si>
    <t>hráč2</t>
  </si>
  <si>
    <t>set1</t>
  </si>
  <si>
    <t>set2</t>
  </si>
  <si>
    <t>set3</t>
  </si>
  <si>
    <t>set4</t>
  </si>
  <si>
    <t>set5</t>
  </si>
  <si>
    <t>D</t>
  </si>
  <si>
    <t>H</t>
  </si>
  <si>
    <t>vítěz</t>
  </si>
  <si>
    <t>Jméno</t>
  </si>
  <si>
    <t>Oddíl</t>
  </si>
  <si>
    <t>hráč3</t>
  </si>
  <si>
    <t>hráč4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</si>
  <si>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</si>
  <si>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</si>
  <si>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</si>
  <si>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</si>
  <si>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</si>
  <si>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</si>
  <si>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</si>
  <si>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</si>
  <si>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</si>
  <si>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</si>
  <si>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</si>
  <si>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</si>
  <si>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datnar</t>
  </si>
  <si>
    <t>Název turnaje:</t>
  </si>
  <si>
    <t>Kategorie:</t>
  </si>
  <si>
    <t>XXX</t>
  </si>
  <si>
    <t>Účastníků:</t>
  </si>
  <si>
    <t>soutěž</t>
  </si>
  <si>
    <t>sada 1</t>
  </si>
  <si>
    <t>sada 2</t>
  </si>
  <si>
    <t>sada 3</t>
  </si>
  <si>
    <t>sada 4</t>
  </si>
  <si>
    <t>sada 5</t>
  </si>
  <si>
    <t>Celkem zápas</t>
  </si>
  <si>
    <t>Rozhodčí</t>
  </si>
  <si>
    <t>Vítěz</t>
  </si>
  <si>
    <t>stůl č.</t>
  </si>
  <si>
    <t>Čtyřhra</t>
  </si>
  <si>
    <t>krajské přebory</t>
  </si>
  <si>
    <t>žebříček</t>
  </si>
  <si>
    <t>MIX</t>
  </si>
  <si>
    <t>čtyřhraŽ</t>
  </si>
  <si>
    <t>čtyřhra M</t>
  </si>
  <si>
    <t>DVOUHRA  Ž</t>
  </si>
  <si>
    <t>DVOUHRA   M</t>
  </si>
  <si>
    <t>SKST N. Lískovec</t>
  </si>
  <si>
    <t>KST FOSFA LVA</t>
  </si>
  <si>
    <t>KST Vyškov</t>
  </si>
  <si>
    <t>MS Brno</t>
  </si>
  <si>
    <t>Sokol Brno I</t>
  </si>
  <si>
    <t>SKST Hodonín</t>
  </si>
  <si>
    <t>STP Mikulov</t>
  </si>
  <si>
    <t>STK Zbraslavec</t>
  </si>
  <si>
    <t>TJ Mikulčice</t>
  </si>
  <si>
    <t>MSK Břeclav</t>
  </si>
  <si>
    <t>Rousínovec</t>
  </si>
  <si>
    <t>Flajšar Pavel</t>
  </si>
  <si>
    <t>Štěpánek Adam</t>
  </si>
  <si>
    <t>Vokřínek Tomáš</t>
  </si>
  <si>
    <t>Cupák Jakub</t>
  </si>
  <si>
    <t>Macánek Martin</t>
  </si>
  <si>
    <t>Sýkora Tomáš</t>
  </si>
  <si>
    <t>Křepela David</t>
  </si>
  <si>
    <t>Sýkora Marek</t>
  </si>
  <si>
    <t>Tuč Michal</t>
  </si>
  <si>
    <t>Solfronk Adam</t>
  </si>
  <si>
    <t>Dvorský Vojtěch</t>
  </si>
  <si>
    <t>Cupáková Bára</t>
  </si>
  <si>
    <t>Kotásková Julie</t>
  </si>
  <si>
    <t>Machová Adélka</t>
  </si>
  <si>
    <t>Báťková Pavlína</t>
  </si>
  <si>
    <t>Zídková Madlen</t>
  </si>
  <si>
    <t>Zechmeisterová Rebeka</t>
  </si>
  <si>
    <t>Konkolová Julie</t>
  </si>
  <si>
    <t>U13</t>
  </si>
  <si>
    <t>Koudelka David</t>
  </si>
  <si>
    <t>Herman Jan</t>
  </si>
  <si>
    <t>Barták Lukáš</t>
  </si>
  <si>
    <t>KST Kunštát</t>
  </si>
  <si>
    <t>Jež Vítek</t>
  </si>
  <si>
    <t>Strnad Mikuláš</t>
  </si>
  <si>
    <t>Samson Hynek</t>
  </si>
  <si>
    <t>Agrotec Hustopeče</t>
  </si>
  <si>
    <t>Čelko Ondřej</t>
  </si>
  <si>
    <t>Sokol Líšeň</t>
  </si>
  <si>
    <t>Čermák Jan</t>
  </si>
  <si>
    <t>Telecký Radovan</t>
  </si>
  <si>
    <t>Orel Šlapanice</t>
  </si>
  <si>
    <t>Sedláček Matěj</t>
  </si>
  <si>
    <t>Králík Jakub</t>
  </si>
  <si>
    <t>Veselý Michael</t>
  </si>
  <si>
    <t>Le Phuoc Vu</t>
  </si>
  <si>
    <t>Vlk Oliver</t>
  </si>
  <si>
    <t>Chloupek Tomáš</t>
  </si>
  <si>
    <t>Kouřil Antonín</t>
  </si>
  <si>
    <t>MK Řeznovice</t>
  </si>
  <si>
    <t>Topinka Vojtěch</t>
  </si>
  <si>
    <t>Kmenta Josef</t>
  </si>
  <si>
    <t>Nevěčný Milan</t>
  </si>
  <si>
    <t>Struhárová Jana</t>
  </si>
  <si>
    <t>Polanská Claudia</t>
  </si>
  <si>
    <t>Bařinová Tereza</t>
  </si>
  <si>
    <t>Bravencová Karolína</t>
  </si>
  <si>
    <t>Křepelová Kamila</t>
  </si>
  <si>
    <t>Tufová Laura</t>
  </si>
  <si>
    <t>Trávníčková Eliška</t>
  </si>
  <si>
    <t>TJ Brno-Bystrc</t>
  </si>
  <si>
    <t>Hanáčková Lucie</t>
  </si>
  <si>
    <t>Sokol Znojmo-Orel Únanov</t>
  </si>
  <si>
    <t>Josefov</t>
  </si>
  <si>
    <t>Veselý Eliáš</t>
  </si>
  <si>
    <t>Svobodová Kristýna</t>
  </si>
  <si>
    <t>TJ Jiskra Strážnice</t>
  </si>
  <si>
    <t>Peťura Patrik</t>
  </si>
  <si>
    <t>-9</t>
  </si>
  <si>
    <t>9</t>
  </si>
  <si>
    <t>10</t>
  </si>
  <si>
    <t>5</t>
  </si>
  <si>
    <t>-7</t>
  </si>
  <si>
    <t>-3</t>
  </si>
  <si>
    <t>-4</t>
  </si>
  <si>
    <t>-12</t>
  </si>
  <si>
    <t>2</t>
  </si>
  <si>
    <t>4</t>
  </si>
  <si>
    <t>8</t>
  </si>
  <si>
    <t>6</t>
  </si>
  <si>
    <t>3</t>
  </si>
  <si>
    <t>-8</t>
  </si>
  <si>
    <t>7</t>
  </si>
  <si>
    <t>-5</t>
  </si>
  <si>
    <t>1</t>
  </si>
  <si>
    <t>-6</t>
  </si>
  <si>
    <t>-14</t>
  </si>
  <si>
    <t>-10</t>
  </si>
  <si>
    <t>12</t>
  </si>
  <si>
    <t>-2</t>
  </si>
  <si>
    <t>-1</t>
  </si>
  <si>
    <t>-0</t>
  </si>
  <si>
    <t>11</t>
  </si>
  <si>
    <t>-11</t>
  </si>
  <si>
    <t>-13</t>
  </si>
  <si>
    <t>-16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</si>
</sst>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/yy"/>
    <numFmt numFmtId="167" formatCode="m/yy"/>
    <numFmt numFmtId="168" formatCode="d/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</numFmts>
  <fonts count="5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b/>
      <sz val="12"/>
      <name val="Arial CE"/>
      <family val="2"/>
    </font>
    <font>
      <b/>
      <sz val="2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i/>
      <sz val="9"/>
      <name val="Times New Roman CE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000000"/>
      <name val="Calibri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rgb="FFFF0000"/>
      </diagonal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9" fillId="33" borderId="37" xfId="0" applyNumberFormat="1" applyFont="1" applyFill="1" applyBorder="1" applyAlignment="1">
      <alignment/>
    </xf>
    <xf numFmtId="49" fontId="9" fillId="33" borderId="38" xfId="0" applyNumberFormat="1" applyFont="1" applyFill="1" applyBorder="1" applyAlignment="1">
      <alignment/>
    </xf>
    <xf numFmtId="49" fontId="9" fillId="33" borderId="39" xfId="0" applyNumberFormat="1" applyFont="1" applyFill="1" applyBorder="1" applyAlignment="1">
      <alignment/>
    </xf>
    <xf numFmtId="49" fontId="9" fillId="33" borderId="4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9" fillId="33" borderId="41" xfId="0" applyNumberFormat="1" applyFont="1" applyFill="1" applyBorder="1" applyAlignment="1">
      <alignment/>
    </xf>
    <xf numFmtId="49" fontId="9" fillId="33" borderId="42" xfId="0" applyNumberFormat="1" applyFont="1" applyFill="1" applyBorder="1" applyAlignment="1">
      <alignment/>
    </xf>
    <xf numFmtId="49" fontId="9" fillId="33" borderId="19" xfId="0" applyNumberFormat="1" applyFont="1" applyFill="1" applyBorder="1" applyAlignment="1">
      <alignment/>
    </xf>
    <xf numFmtId="49" fontId="9" fillId="33" borderId="43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/>
    </xf>
    <xf numFmtId="49" fontId="2" fillId="33" borderId="42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0" xfId="0" applyFont="1" applyFill="1" applyAlignment="1">
      <alignment/>
    </xf>
    <xf numFmtId="0" fontId="13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7" fillId="0" borderId="0" xfId="0" applyFont="1" applyAlignment="1">
      <alignment/>
    </xf>
    <xf numFmtId="14" fontId="18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49" fontId="50" fillId="34" borderId="37" xfId="51" applyNumberFormat="1" applyFill="1" applyBorder="1" applyAlignment="1">
      <alignment/>
    </xf>
    <xf numFmtId="49" fontId="50" fillId="34" borderId="38" xfId="51" applyNumberFormat="1" applyFill="1" applyBorder="1" applyAlignment="1">
      <alignment/>
    </xf>
    <xf numFmtId="49" fontId="50" fillId="34" borderId="39" xfId="51" applyNumberFormat="1" applyFill="1" applyBorder="1" applyAlignment="1">
      <alignment/>
    </xf>
    <xf numFmtId="49" fontId="50" fillId="34" borderId="40" xfId="51" applyNumberFormat="1" applyFill="1" applyBorder="1" applyAlignment="1">
      <alignment/>
    </xf>
    <xf numFmtId="49" fontId="50" fillId="34" borderId="0" xfId="51" applyNumberFormat="1" applyFill="1" applyBorder="1" applyAlignment="1">
      <alignment/>
    </xf>
    <xf numFmtId="49" fontId="50" fillId="34" borderId="41" xfId="51" applyNumberFormat="1" applyFill="1" applyBorder="1" applyAlignment="1">
      <alignment/>
    </xf>
    <xf numFmtId="49" fontId="50" fillId="34" borderId="42" xfId="51" applyNumberFormat="1" applyFill="1" applyBorder="1" applyAlignment="1">
      <alignment/>
    </xf>
    <xf numFmtId="49" fontId="50" fillId="34" borderId="19" xfId="51" applyNumberFormat="1" applyFill="1" applyBorder="1" applyAlignment="1">
      <alignment/>
    </xf>
    <xf numFmtId="49" fontId="50" fillId="34" borderId="43" xfId="51" applyNumberForma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0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35" borderId="0" xfId="0" applyFont="1" applyFill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46" xfId="0" applyFont="1" applyFill="1" applyBorder="1" applyAlignment="1">
      <alignment/>
    </xf>
    <xf numFmtId="0" fontId="11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6" xfId="0" applyFont="1" applyFill="1" applyBorder="1" applyAlignment="1">
      <alignment/>
    </xf>
    <xf numFmtId="0" fontId="2" fillId="35" borderId="0" xfId="0" applyFont="1" applyFill="1" applyAlignment="1">
      <alignment/>
    </xf>
    <xf numFmtId="0" fontId="12" fillId="34" borderId="0" xfId="0" applyFont="1" applyFill="1" applyAlignment="1">
      <alignment/>
    </xf>
    <xf numFmtId="0" fontId="48" fillId="0" borderId="0" xfId="46">
      <alignment/>
      <protection/>
    </xf>
    <xf numFmtId="0" fontId="5" fillId="34" borderId="20" xfId="0" applyFont="1" applyFill="1" applyBorder="1" applyAlignment="1">
      <alignment/>
    </xf>
    <xf numFmtId="0" fontId="48" fillId="0" borderId="0" xfId="46">
      <alignment/>
      <protection/>
    </xf>
    <xf numFmtId="0" fontId="5" fillId="34" borderId="20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eznam"/>
      <sheetName val="debl"/>
      <sheetName val="P-1 256"/>
      <sheetName val="V-1 256"/>
      <sheetName val="P-1 128"/>
      <sheetName val="V-1 128"/>
      <sheetName val="P-1 64"/>
      <sheetName val="V-1 64"/>
      <sheetName val="P-1 32"/>
      <sheetName val="V-1 32"/>
      <sheetName val="V-2 32"/>
      <sheetName val="postup 32"/>
      <sheetName val="V-2 16"/>
      <sheetName val="postup 16"/>
      <sheetName val="P-3 16"/>
      <sheetName val="V-3 16"/>
      <sheetName val="P-3 8"/>
      <sheetName val="V-3 8"/>
      <sheetName val="P-U 128"/>
      <sheetName val="V-U 128"/>
      <sheetName val="P-U 64"/>
      <sheetName val="V-U 64"/>
      <sheetName val="P-U 32"/>
      <sheetName val="V-U 32"/>
      <sheetName val="P-D 128"/>
      <sheetName val="V-D 128"/>
      <sheetName val="P-D 64"/>
      <sheetName val="V-D 64"/>
      <sheetName val="P-D 32"/>
      <sheetName val="V-D 32"/>
      <sheetName val="Z-singl"/>
      <sheetName val="T-singl"/>
      <sheetName val="Z-debl"/>
      <sheetName val="T-debl"/>
    </sheetNames>
    <sheetDataSet>
      <sheetData sheetId="16">
        <row r="1">
          <cell r="B1" t="str">
            <v>číslo</v>
          </cell>
          <cell r="C1" t="str">
            <v>hráč1</v>
          </cell>
          <cell r="D1" t="str">
            <v>klub</v>
          </cell>
          <cell r="E1" t="str">
            <v>číslo</v>
          </cell>
          <cell r="F1" t="str">
            <v>hráč2</v>
          </cell>
          <cell r="G1" t="str">
            <v>klub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6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8.00390625" style="0" customWidth="1"/>
    <col min="2" max="2" width="6.125" style="0" customWidth="1"/>
  </cols>
  <sheetData>
    <row r="6" spans="1:3" ht="12.75">
      <c r="A6" s="77" t="s">
        <v>29</v>
      </c>
      <c r="C6" s="132" t="s">
        <v>44</v>
      </c>
    </row>
    <row r="7" spans="1:4" ht="12.75">
      <c r="A7" s="77"/>
      <c r="C7" s="85"/>
      <c r="D7" s="80"/>
    </row>
    <row r="8" spans="1:3" ht="12.75">
      <c r="A8" s="77" t="s">
        <v>30</v>
      </c>
      <c r="C8" s="132" t="s">
        <v>80</v>
      </c>
    </row>
    <row r="9" spans="1:3" ht="12.75">
      <c r="A9" s="77" t="s">
        <v>32</v>
      </c>
      <c r="C9" s="77">
        <f>COUNTA(sez!B2:B247)</f>
        <v>48</v>
      </c>
    </row>
    <row r="11" ht="12.75">
      <c r="A11" s="77"/>
    </row>
    <row r="12" ht="12.75">
      <c r="A12" s="77"/>
    </row>
    <row r="13" ht="12.75">
      <c r="A13" s="77"/>
    </row>
    <row r="14" ht="15.75">
      <c r="A14" s="84"/>
    </row>
    <row r="16" ht="12.75">
      <c r="B16" s="77"/>
    </row>
    <row r="17" ht="12.75">
      <c r="B17" s="77"/>
    </row>
    <row r="19" ht="12.75">
      <c r="B19" s="77"/>
    </row>
    <row r="23" ht="12.75">
      <c r="B23" s="77"/>
    </row>
    <row r="24" ht="12.75">
      <c r="B24" s="77"/>
    </row>
    <row r="25" ht="12.75">
      <c r="B25" s="77"/>
    </row>
    <row r="29" ht="12.75">
      <c r="B29" s="77"/>
    </row>
    <row r="30" ht="12.75">
      <c r="B30" s="77"/>
    </row>
    <row r="31" ht="12.75">
      <c r="B31" s="77"/>
    </row>
    <row r="32" ht="12.75">
      <c r="B32" s="77"/>
    </row>
    <row r="35" ht="12.75">
      <c r="B35" s="77"/>
    </row>
    <row r="36" ht="12.75">
      <c r="B36" s="77"/>
    </row>
    <row r="37" ht="12.75">
      <c r="B37" s="77"/>
    </row>
    <row r="40" ht="12.75">
      <c r="B40" s="77"/>
    </row>
    <row r="43" ht="12.75">
      <c r="B43" s="77"/>
    </row>
    <row r="51" ht="12.75">
      <c r="B51" s="77"/>
    </row>
    <row r="55" ht="12.75">
      <c r="B55" s="77"/>
    </row>
    <row r="57" ht="12.75">
      <c r="B57" s="77"/>
    </row>
    <row r="61" ht="12.75">
      <c r="B61" s="77"/>
    </row>
  </sheetData>
  <sheetProtection/>
  <printOptions/>
  <pageMargins left="0.1968503937007874" right="0.1968503937007874" top="0.1968503937007874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Normal="75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7" width="31.375" style="2" customWidth="1"/>
    <col min="8" max="16384" width="9.125" style="2" customWidth="1"/>
  </cols>
  <sheetData>
    <row r="1" spans="2:7" ht="27" customHeight="1">
      <c r="B1" s="3" t="str">
        <f>úvod!C6</f>
        <v>krajské přebory</v>
      </c>
      <c r="G1" s="86"/>
    </row>
    <row r="2" spans="2:7" ht="21" customHeight="1">
      <c r="B2" s="79"/>
      <c r="G2" s="20" t="str">
        <f>CONCATENATE("Dvouhra ",úvod!C8," Ž - 2.stupeň")</f>
        <v>Dvouhra U13 Ž - 2.stupeň</v>
      </c>
    </row>
    <row r="3" spans="4:7" ht="13.5">
      <c r="D3" s="4"/>
      <c r="G3" s="81"/>
    </row>
    <row r="4" spans="4:7" ht="13.5">
      <c r="D4" s="4"/>
      <c r="G4" s="81"/>
    </row>
    <row r="5" spans="1:3" ht="26.25" customHeight="1">
      <c r="A5" s="2">
        <v>1</v>
      </c>
      <c r="B5" s="104">
        <v>41</v>
      </c>
      <c r="C5" s="5" t="str">
        <f>IF($B5="","-----------",CONCATENATE(VLOOKUP($B5,sez!$A$2:$E$259,2)," (",VLOOKUP($B5,sez!$A$2:$E$259,4),")"))</f>
        <v>Cupáková Bára (KST FOSFA LVA)</v>
      </c>
    </row>
    <row r="6" spans="4:5" ht="26.25" customHeight="1">
      <c r="D6" s="13"/>
      <c r="E6" s="5" t="str">
        <f>'výs 2st. Ž'!P2</f>
        <v>Cupáková Bára</v>
      </c>
    </row>
    <row r="7" spans="1:5" ht="26.25" customHeight="1">
      <c r="A7" s="2">
        <v>2</v>
      </c>
      <c r="B7" s="104">
        <v>46</v>
      </c>
      <c r="C7" s="5" t="str">
        <f>IF($B7="","-----------",CONCATENATE(VLOOKUP($B7,sez!$A$2:$E$259,2)," (",VLOOKUP($B7,sez!$A$2:$E$259,4),")"))</f>
        <v>Polanská Claudia (KST FOSFA LVA)</v>
      </c>
      <c r="D7" s="14"/>
      <c r="E7" s="6" t="str">
        <f>'výs 2st. Ž'!R2</f>
        <v>3:0 (9,3,6)</v>
      </c>
    </row>
    <row r="8" spans="4:6" ht="26.25" customHeight="1">
      <c r="D8" s="15"/>
      <c r="E8" s="8"/>
      <c r="F8" s="21" t="str">
        <f>'výs 2st. Ž'!P7</f>
        <v>Machová Adélka</v>
      </c>
    </row>
    <row r="9" spans="1:6" ht="26.25" customHeight="1">
      <c r="A9" s="2">
        <v>3</v>
      </c>
      <c r="B9" s="104">
        <v>45</v>
      </c>
      <c r="C9" s="5" t="str">
        <f>IF($B9="","-----------",CONCATENATE(VLOOKUP($B9,sez!$A$2:$E$259,2)," (",VLOOKUP($B9,sez!$A$2:$E$259,4),")"))</f>
        <v>Kotásková Julie (TJ Mikulčice)</v>
      </c>
      <c r="D9" s="12"/>
      <c r="E9" s="8"/>
      <c r="F9" s="6" t="str">
        <f>'výs 2st. Ž'!R7</f>
        <v>3:0 (9,10,4)</v>
      </c>
    </row>
    <row r="10" spans="4:6" ht="26.25" customHeight="1">
      <c r="D10" s="13"/>
      <c r="E10" s="7" t="str">
        <f>'výs 2st. Ž'!P3</f>
        <v>Machová Adélka</v>
      </c>
      <c r="F10" s="8"/>
    </row>
    <row r="11" spans="1:6" ht="26.25" customHeight="1">
      <c r="A11" s="2">
        <v>4</v>
      </c>
      <c r="B11" s="104">
        <v>44</v>
      </c>
      <c r="C11" s="5" t="str">
        <f>IF($B11="","-----------",CONCATENATE(VLOOKUP($B11,sez!$A$2:$E$259,2)," (",VLOOKUP($B11,sez!$A$2:$E$259,4),")"))</f>
        <v>Machová Adélka (STP Mikulov)</v>
      </c>
      <c r="D11" s="14"/>
      <c r="E11" s="2" t="str">
        <f>'výs 2st. Ž'!R3</f>
        <v>3:0 (5,6,5)</v>
      </c>
      <c r="F11" s="8"/>
    </row>
    <row r="12" spans="4:7" ht="26.25" customHeight="1">
      <c r="D12" s="15"/>
      <c r="F12" s="8"/>
      <c r="G12" s="21" t="str">
        <f>'výs 2st. Ž'!P10</f>
        <v>Struhárová Jana</v>
      </c>
    </row>
    <row r="13" spans="1:7" ht="26.25" customHeight="1">
      <c r="A13" s="2">
        <v>5</v>
      </c>
      <c r="B13" s="104">
        <v>43</v>
      </c>
      <c r="C13" s="5" t="str">
        <f>IF($B13="","-----------",CONCATENATE(VLOOKUP($B13,sez!$A$2:$E$259,2)," (",VLOOKUP($B13,sez!$A$2:$E$259,4),")"))</f>
        <v>Struhárová Jana (MSK Břeclav)</v>
      </c>
      <c r="D13" s="12"/>
      <c r="F13" s="8"/>
      <c r="G13" s="87" t="str">
        <f>'výs 2st. Ž'!R10</f>
        <v>3:1 (-8,5,11,7)</v>
      </c>
    </row>
    <row r="14" spans="4:7" ht="26.25" customHeight="1">
      <c r="D14" s="13"/>
      <c r="E14" s="5" t="str">
        <f>'výs 2st. Ž'!P4</f>
        <v>Struhárová Jana</v>
      </c>
      <c r="F14" s="8"/>
      <c r="G14" s="82"/>
    </row>
    <row r="15" spans="1:7" ht="26.25" customHeight="1">
      <c r="A15" s="2">
        <v>6</v>
      </c>
      <c r="B15" s="104">
        <v>49</v>
      </c>
      <c r="C15" s="5" t="str">
        <f>IF($B15="","-----------",CONCATENATE(VLOOKUP($B15,sez!$A$2:$E$259,2)," (",VLOOKUP($B15,sez!$A$2:$E$259,4),")"))</f>
        <v>Bravencová Karolína (Josefov)</v>
      </c>
      <c r="D15" s="14"/>
      <c r="E15" s="6" t="str">
        <f>'výs 2st. Ž'!R4</f>
        <v>3:0 (3,2,3)</v>
      </c>
      <c r="F15" s="8"/>
      <c r="G15" s="82"/>
    </row>
    <row r="16" spans="4:7" ht="26.25" customHeight="1">
      <c r="D16" s="15"/>
      <c r="E16" s="8"/>
      <c r="F16" s="22" t="str">
        <f>'výs 2st. Ž'!P8</f>
        <v>Struhárová Jana</v>
      </c>
      <c r="G16" s="82"/>
    </row>
    <row r="17" spans="1:7" ht="26.25" customHeight="1">
      <c r="A17" s="2">
        <v>7</v>
      </c>
      <c r="B17" s="104">
        <v>47</v>
      </c>
      <c r="C17" s="5" t="str">
        <f>IF($B17="","-----------",CONCATENATE(VLOOKUP($B17,sez!$A$2:$E$259,2)," (",VLOOKUP($B17,sez!$A$2:$E$259,4),")"))</f>
        <v>Zechmeisterová Rebeka (KST FOSFA LVA)</v>
      </c>
      <c r="D17" s="12"/>
      <c r="E17" s="8"/>
      <c r="F17" s="2" t="str">
        <f>'výs 2st. Ž'!R8</f>
        <v>3:0 (12,11,7)</v>
      </c>
      <c r="G17" s="82"/>
    </row>
    <row r="18" spans="4:7" ht="26.25" customHeight="1">
      <c r="D18" s="13"/>
      <c r="E18" s="7" t="str">
        <f>'výs 2st. Ž'!P5</f>
        <v>Báťková Pavlína</v>
      </c>
      <c r="G18" s="82"/>
    </row>
    <row r="19" spans="1:7" ht="26.25" customHeight="1">
      <c r="A19" s="2">
        <v>8</v>
      </c>
      <c r="B19" s="104">
        <v>42</v>
      </c>
      <c r="C19" s="5" t="str">
        <f>IF($B19="","-----------",CONCATENATE(VLOOKUP($B19,sez!$A$2:$E$259,2)," (",VLOOKUP($B19,sez!$A$2:$E$259,4),")"))</f>
        <v>Báťková Pavlína (SKST Hodonín)</v>
      </c>
      <c r="D19" s="14"/>
      <c r="E19" s="2" t="str">
        <f>'výs 2st. Ž'!R5</f>
        <v>3:0 (5,7,8)</v>
      </c>
      <c r="G19" s="82"/>
    </row>
    <row r="20" spans="4:7" ht="15" customHeight="1">
      <c r="D20" s="15"/>
      <c r="G20" s="82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26.375" style="2" customWidth="1"/>
    <col min="2" max="2" width="4.625" style="2" bestFit="1" customWidth="1"/>
    <col min="3" max="3" width="15.125" style="2" bestFit="1" customWidth="1"/>
    <col min="4" max="4" width="19.625" style="2" bestFit="1" customWidth="1"/>
    <col min="5" max="5" width="4.625" style="2" bestFit="1" customWidth="1"/>
    <col min="6" max="6" width="16.00390625" style="2" bestFit="1" customWidth="1"/>
    <col min="7" max="7" width="19.625" style="2" bestFit="1" customWidth="1"/>
    <col min="8" max="12" width="5.25390625" style="2" customWidth="1"/>
    <col min="13" max="14" width="4.25390625" style="2" customWidth="1"/>
    <col min="15" max="15" width="4.625" style="2" bestFit="1" customWidth="1"/>
    <col min="16" max="16" width="5.625" style="2" customWidth="1"/>
    <col min="17" max="17" width="15.00390625" style="2" bestFit="1" customWidth="1"/>
    <col min="18" max="18" width="18.875" style="2" bestFit="1" customWidth="1"/>
    <col min="19" max="19" width="3.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6" t="s">
        <v>4</v>
      </c>
      <c r="I1" s="17" t="s">
        <v>5</v>
      </c>
      <c r="J1" s="17" t="s">
        <v>6</v>
      </c>
      <c r="K1" s="17" t="s">
        <v>7</v>
      </c>
      <c r="L1" s="18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131" t="str">
        <f>CONCATENATE("Dvouhra ",úvod!$C$8," - 1.kolo")</f>
        <v>Dvouhra U13 - 1.kolo</v>
      </c>
      <c r="B2" s="131">
        <f>'2.st. Ž'!$B$5</f>
        <v>41</v>
      </c>
      <c r="C2" s="131" t="str">
        <f>IF($B2=0,"-----------",VLOOKUP($B2,sez!$A$2:$D$259,2))</f>
        <v>Cupáková Bára</v>
      </c>
      <c r="D2" s="131" t="str">
        <f>IF($B2=0,"",VLOOKUP($B2,sez!$A$2:$E$259,4))</f>
        <v>KST FOSFA LVA</v>
      </c>
      <c r="E2" s="131">
        <f>'2.st. Ž'!$B$7</f>
        <v>46</v>
      </c>
      <c r="F2" s="131" t="str">
        <f>IF($E2=0,"-----------",VLOOKUP($E2,sez!$A$2:$D$259,2))</f>
        <v>Polanská Claudia</v>
      </c>
      <c r="G2" s="131" t="str">
        <f>IF($E2=0,"",VLOOKUP($E2,sez!$A$2:$E$259,4))</f>
        <v>KST FOSFA LVA</v>
      </c>
      <c r="H2" s="63" t="s">
        <v>121</v>
      </c>
      <c r="I2" s="64" t="s">
        <v>132</v>
      </c>
      <c r="J2" s="64" t="s">
        <v>131</v>
      </c>
      <c r="K2" s="64"/>
      <c r="L2" s="65"/>
      <c r="M2" s="2">
        <f>COUNTIF(T2:X2,"&gt;0")</f>
        <v>3</v>
      </c>
      <c r="N2" s="2">
        <f>COUNTIF(T2:X2,"&lt;0")</f>
        <v>0</v>
      </c>
      <c r="O2" s="2">
        <f>IF(M2=N2,0,IF(M2&gt;N2,B2,E2))</f>
        <v>41</v>
      </c>
      <c r="P2" s="2" t="str">
        <f>IF($O2=0,"",VLOOKUP($O2,sez!$A$2:$D$259,2))</f>
        <v>Cupáková Bára</v>
      </c>
      <c r="Q2" s="2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>3:0 (9,3,6)</v>
      </c>
      <c r="R2" s="2" t="str">
        <f>IF(MAX(M2:N2)=3,Q2,"")</f>
        <v>3:0 (9,3,6)</v>
      </c>
      <c r="S2" s="25"/>
      <c r="T2" s="25">
        <f aca="true" t="shared" si="0" ref="T2:X5">IF(H2="",0,IF(MID(H2,1,1)="-",-1,1))</f>
        <v>1</v>
      </c>
      <c r="U2" s="25">
        <f t="shared" si="0"/>
        <v>1</v>
      </c>
      <c r="V2" s="25">
        <f t="shared" si="0"/>
        <v>1</v>
      </c>
      <c r="W2" s="25">
        <f t="shared" si="0"/>
        <v>0</v>
      </c>
      <c r="X2" s="25">
        <f t="shared" si="0"/>
        <v>0</v>
      </c>
    </row>
    <row r="3" spans="1:24" ht="12.75">
      <c r="A3" s="131" t="str">
        <f>CONCATENATE("Dvouhra ",úvod!$C$8," - 1.kolo")</f>
        <v>Dvouhra U13 - 1.kolo</v>
      </c>
      <c r="B3" s="131">
        <f>'2.st. Ž'!$B$9</f>
        <v>45</v>
      </c>
      <c r="C3" s="131" t="str">
        <f>IF($B3=0,"-----------",VLOOKUP($B3,sez!$A$2:$D$259,2))</f>
        <v>Kotásková Julie</v>
      </c>
      <c r="D3" s="131" t="str">
        <f>IF($B3=0,"",VLOOKUP($B3,sez!$A$2:$E$259,4))</f>
        <v>TJ Mikulčice</v>
      </c>
      <c r="E3" s="131">
        <f>'2.st. Ž'!$B$11</f>
        <v>44</v>
      </c>
      <c r="F3" s="131" t="str">
        <f>IF($E3=0,"-----------",VLOOKUP($E3,sez!$A$2:$D$259,2))</f>
        <v>Machová Adélka</v>
      </c>
      <c r="G3" s="131" t="str">
        <f>IF($E3=0,"",VLOOKUP($E3,sez!$A$2:$E$259,4))</f>
        <v>STP Mikulov</v>
      </c>
      <c r="H3" s="66" t="s">
        <v>135</v>
      </c>
      <c r="I3" s="67" t="s">
        <v>137</v>
      </c>
      <c r="J3" s="67" t="s">
        <v>135</v>
      </c>
      <c r="K3" s="67"/>
      <c r="L3" s="68"/>
      <c r="M3" s="2">
        <f>COUNTIF(T3:X3,"&gt;0")</f>
        <v>0</v>
      </c>
      <c r="N3" s="2">
        <f>COUNTIF(T3:X3,"&lt;0")</f>
        <v>3</v>
      </c>
      <c r="O3" s="2">
        <f>IF(M3=N3,0,IF(M3&gt;N3,B3,E3))</f>
        <v>44</v>
      </c>
      <c r="P3" s="2" t="str">
        <f>IF($O3=0,"",VLOOKUP($O3,sez!$A$2:$D$259,2))</f>
        <v>Machová Adélka</v>
      </c>
      <c r="Q3" s="2" t="str">
        <f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>3:0 (5,6,5)</v>
      </c>
      <c r="R3" s="2" t="str">
        <f>IF(MAX(M3:N3)=3,Q3,"")</f>
        <v>3:0 (5,6,5)</v>
      </c>
      <c r="T3" s="25">
        <f t="shared" si="0"/>
        <v>-1</v>
      </c>
      <c r="U3" s="25">
        <f t="shared" si="0"/>
        <v>-1</v>
      </c>
      <c r="V3" s="25">
        <f t="shared" si="0"/>
        <v>-1</v>
      </c>
      <c r="W3" s="25">
        <f t="shared" si="0"/>
        <v>0</v>
      </c>
      <c r="X3" s="25">
        <f t="shared" si="0"/>
        <v>0</v>
      </c>
    </row>
    <row r="4" spans="1:24" ht="12.75">
      <c r="A4" s="131" t="str">
        <f>CONCATENATE("Dvouhra ",úvod!$C$8," - 1.kolo")</f>
        <v>Dvouhra U13 - 1.kolo</v>
      </c>
      <c r="B4" s="131">
        <f>'2.st. Ž'!$B$13</f>
        <v>43</v>
      </c>
      <c r="C4" s="131" t="str">
        <f>IF($B4=0,"-----------",VLOOKUP($B4,sez!$A$2:$D$259,2))</f>
        <v>Struhárová Jana</v>
      </c>
      <c r="D4" s="131" t="str">
        <f>IF($B4=0,"",VLOOKUP($B4,sez!$A$2:$E$259,4))</f>
        <v>MSK Břeclav</v>
      </c>
      <c r="E4" s="131">
        <f>'2.st. Ž'!$B$15</f>
        <v>49</v>
      </c>
      <c r="F4" s="131" t="str">
        <f>IF($E4=0,"-----------",VLOOKUP($E4,sez!$A$2:$D$259,2))</f>
        <v>Bravencová Karolína</v>
      </c>
      <c r="G4" s="131" t="str">
        <f>IF($E4=0,"",VLOOKUP($E4,sez!$A$2:$E$259,4))</f>
        <v>Josefov</v>
      </c>
      <c r="H4" s="66" t="s">
        <v>132</v>
      </c>
      <c r="I4" s="67" t="s">
        <v>128</v>
      </c>
      <c r="J4" s="67" t="s">
        <v>132</v>
      </c>
      <c r="K4" s="67"/>
      <c r="L4" s="68"/>
      <c r="M4" s="2">
        <f>COUNTIF(T4:X4,"&gt;0")</f>
        <v>3</v>
      </c>
      <c r="N4" s="2">
        <f>COUNTIF(T4:X4,"&lt;0")</f>
        <v>0</v>
      </c>
      <c r="O4" s="2">
        <f>IF(M4=N4,0,IF(M4&gt;N4,B4,E4))</f>
        <v>43</v>
      </c>
      <c r="P4" s="2" t="str">
        <f>IF($O4=0,"",VLOOKUP($O4,sez!$A$2:$D$259,2))</f>
        <v>Struhárová Jana</v>
      </c>
      <c r="Q4" s="2" t="str">
        <f>IF(M4=N4,"",IF(M4&gt;N4,CONCATENATE(M4,":",N4," (",H4,",",I4,",",J4,IF(SUM(M4:N4)&gt;3,",",""),K4,IF(SUM(M4:N4)&gt;4,",",""),L4,")"),CONCATENATE(N4,":",M4," (",IF(H4="0","-0",-H4),",",IF(I4="0","-0",-I4),",",IF(J4="0","-0",-J4),IF(SUM(M4:N4)&gt;3,CONCATENATE(",",IF(K4="0","-0",-K4)),""),IF(SUM(M4:N4)&gt;4,CONCATENATE(",",IF(L4="0","-0",-L4)),""),")")))</f>
        <v>3:0 (3,2,3)</v>
      </c>
      <c r="R4" s="2" t="str">
        <f>IF(MAX(M4:N4)=3,Q4,"")</f>
        <v>3:0 (3,2,3)</v>
      </c>
      <c r="T4" s="25">
        <f t="shared" si="0"/>
        <v>1</v>
      </c>
      <c r="U4" s="25">
        <f t="shared" si="0"/>
        <v>1</v>
      </c>
      <c r="V4" s="25">
        <f t="shared" si="0"/>
        <v>1</v>
      </c>
      <c r="W4" s="25">
        <f t="shared" si="0"/>
        <v>0</v>
      </c>
      <c r="X4" s="25">
        <f t="shared" si="0"/>
        <v>0</v>
      </c>
    </row>
    <row r="5" spans="1:24" ht="13.5" thickBot="1">
      <c r="A5" s="131" t="str">
        <f>CONCATENATE("Dvouhra ",úvod!$C$8," - 1.kolo")</f>
        <v>Dvouhra U13 - 1.kolo</v>
      </c>
      <c r="B5" s="131">
        <f>'2.st. Ž'!$B$17</f>
        <v>47</v>
      </c>
      <c r="C5" s="131" t="str">
        <f>IF($B5=0,"-----------",VLOOKUP($B5,sez!$A$2:$D$259,2))</f>
        <v>Zechmeisterová Rebeka</v>
      </c>
      <c r="D5" s="131" t="str">
        <f>IF($B5=0,"",VLOOKUP($B5,sez!$A$2:$E$259,4))</f>
        <v>KST FOSFA LVA</v>
      </c>
      <c r="E5" s="131">
        <f>'2.st. Ž'!$B$19</f>
        <v>42</v>
      </c>
      <c r="F5" s="131" t="str">
        <f>IF($E5=0,"-----------",VLOOKUP($E5,sez!$A$2:$D$259,2))</f>
        <v>Báťková Pavlína</v>
      </c>
      <c r="G5" s="131" t="str">
        <f>IF($E5=0,"",VLOOKUP($E5,sez!$A$2:$E$259,4))</f>
        <v>SKST Hodonín</v>
      </c>
      <c r="H5" s="69" t="s">
        <v>135</v>
      </c>
      <c r="I5" s="70" t="s">
        <v>124</v>
      </c>
      <c r="J5" s="70" t="s">
        <v>133</v>
      </c>
      <c r="K5" s="70"/>
      <c r="L5" s="71"/>
      <c r="M5" s="2">
        <f>COUNTIF(T5:X5,"&gt;0")</f>
        <v>0</v>
      </c>
      <c r="N5" s="2">
        <f>COUNTIF(T5:X5,"&lt;0")</f>
        <v>3</v>
      </c>
      <c r="O5" s="2">
        <f>IF(M5=N5,0,IF(M5&gt;N5,B5,E5))</f>
        <v>42</v>
      </c>
      <c r="P5" s="2" t="str">
        <f>IF($O5=0,"",VLOOKUP($O5,sez!$A$2:$D$259,2))</f>
        <v>Báťková Pavlína</v>
      </c>
      <c r="Q5" s="2" t="str">
        <f>IF(M5=N5,"",IF(M5&gt;N5,CONCATENATE(M5,":",N5," (",H5,",",I5,",",J5,IF(SUM(M5:N5)&gt;3,",",""),K5,IF(SUM(M5:N5)&gt;4,",",""),L5,")"),CONCATENATE(N5,":",M5," (",IF(H5="0","-0",-H5),",",IF(I5="0","-0",-I5),",",IF(J5="0","-0",-J5),IF(SUM(M5:N5)&gt;3,CONCATENATE(",",IF(K5="0","-0",-K5)),""),IF(SUM(M5:N5)&gt;4,CONCATENATE(",",IF(L5="0","-0",-L5)),""),")")))</f>
        <v>3:0 (5,7,8)</v>
      </c>
      <c r="R5" s="2" t="str">
        <f>IF(MAX(M5:N5)=3,Q5,"")</f>
        <v>3:0 (5,7,8)</v>
      </c>
      <c r="T5" s="25">
        <f t="shared" si="0"/>
        <v>-1</v>
      </c>
      <c r="U5" s="25">
        <f t="shared" si="0"/>
        <v>-1</v>
      </c>
      <c r="V5" s="25">
        <f t="shared" si="0"/>
        <v>-1</v>
      </c>
      <c r="W5" s="25">
        <f t="shared" si="0"/>
        <v>0</v>
      </c>
      <c r="X5" s="25">
        <f t="shared" si="0"/>
        <v>0</v>
      </c>
    </row>
    <row r="6" spans="8:12" ht="14.25" thickBot="1" thickTop="1">
      <c r="H6" s="19"/>
      <c r="I6" s="19"/>
      <c r="J6" s="19"/>
      <c r="K6" s="19"/>
      <c r="L6" s="19"/>
    </row>
    <row r="7" spans="1:24" ht="13.5" thickTop="1">
      <c r="A7" s="2" t="str">
        <f>CONCATENATE("Dvouhra ",úvod!$C$8," - semifinále")</f>
        <v>Dvouhra U13 - semifinále</v>
      </c>
      <c r="B7" s="2">
        <f>O2</f>
        <v>41</v>
      </c>
      <c r="C7" s="2" t="str">
        <f>IF($B7=0,"",VLOOKUP($B7,sez!$A$2:$D$259,2))</f>
        <v>Cupáková Bára</v>
      </c>
      <c r="D7" s="2" t="str">
        <f>IF($B7=0,"",VLOOKUP($B7,sez!$A$2:$E$259,4))</f>
        <v>KST FOSFA LVA</v>
      </c>
      <c r="E7" s="2">
        <f>O3</f>
        <v>44</v>
      </c>
      <c r="F7" s="2" t="str">
        <f>IF($E7=0,"",VLOOKUP($E7,sez!$A$2:$D$259,2))</f>
        <v>Machová Adélka</v>
      </c>
      <c r="G7" s="2" t="str">
        <f>IF($E7=0,"",VLOOKUP($E7,sez!$A$2:$E$259,4))</f>
        <v>STP Mikulov</v>
      </c>
      <c r="H7" s="63" t="s">
        <v>120</v>
      </c>
      <c r="I7" s="64" t="s">
        <v>139</v>
      </c>
      <c r="J7" s="64" t="s">
        <v>126</v>
      </c>
      <c r="K7" s="64"/>
      <c r="L7" s="65"/>
      <c r="M7" s="2">
        <f>COUNTIF(T7:X7,"&gt;0")</f>
        <v>0</v>
      </c>
      <c r="N7" s="2">
        <f>COUNTIF(T7:X7,"&lt;0")</f>
        <v>3</v>
      </c>
      <c r="O7" s="2">
        <f>IF(M7=N7,0,IF(M7&gt;N7,B7,E7))</f>
        <v>44</v>
      </c>
      <c r="P7" s="2" t="str">
        <f>IF($O7=0,"",VLOOKUP($O7,sez!$A$2:$D$259,2))</f>
        <v>Machová Adélka</v>
      </c>
      <c r="Q7" s="2" t="str">
        <f>IF(M7=N7,"",IF(M7&gt;N7,CONCATENATE(M7,":",N7," (",H7,",",I7,",",J7,IF(SUM(M7:N7)&gt;3,",",""),K7,IF(SUM(M7:N7)&gt;4,",",""),L7,")"),CONCATENATE(N7,":",M7," (",IF(H7="0","-0",-H7),",",IF(I7="0","-0",-I7),",",IF(J7="0","-0",-J7),IF(SUM(M7:N7)&gt;3,CONCATENATE(",",IF(K7="0","-0",-K7)),""),IF(SUM(M7:N7)&gt;4,CONCATENATE(",",IF(L7="0","-0",-L7)),""),")")))</f>
        <v>3:0 (9,10,4)</v>
      </c>
      <c r="R7" s="2" t="str">
        <f>IF(MAX(M7:N7)=3,Q7,"")</f>
        <v>3:0 (9,10,4)</v>
      </c>
      <c r="T7" s="25">
        <f aca="true" t="shared" si="1" ref="T7:X8">IF(H7="",0,IF(MID(H7,1,1)="-",-1,1))</f>
        <v>-1</v>
      </c>
      <c r="U7" s="25">
        <f t="shared" si="1"/>
        <v>-1</v>
      </c>
      <c r="V7" s="25">
        <f t="shared" si="1"/>
        <v>-1</v>
      </c>
      <c r="W7" s="25">
        <f t="shared" si="1"/>
        <v>0</v>
      </c>
      <c r="X7" s="25">
        <f t="shared" si="1"/>
        <v>0</v>
      </c>
    </row>
    <row r="8" spans="1:24" ht="13.5" thickBot="1">
      <c r="A8" s="2" t="str">
        <f>CONCATENATE("Dvouhra ",úvod!$C$8," - semifinále")</f>
        <v>Dvouhra U13 - semifinále</v>
      </c>
      <c r="B8" s="2">
        <f>O4</f>
        <v>43</v>
      </c>
      <c r="C8" s="2" t="str">
        <f>IF($B8=0,"",VLOOKUP($B8,sez!$A$2:$D$259,2))</f>
        <v>Struhárová Jana</v>
      </c>
      <c r="D8" s="2" t="str">
        <f>IF($B8=0,"",VLOOKUP($B8,sez!$A$2:$E$259,4))</f>
        <v>MSK Břeclav</v>
      </c>
      <c r="E8" s="2">
        <f>O5</f>
        <v>42</v>
      </c>
      <c r="F8" s="2" t="str">
        <f>IF($E8=0,"",VLOOKUP($E8,sez!$A$2:$D$259,2))</f>
        <v>Báťková Pavlína</v>
      </c>
      <c r="G8" s="2" t="str">
        <f>IF($E8=0,"",VLOOKUP($E8,sez!$A$2:$E$259,4))</f>
        <v>SKST Hodonín</v>
      </c>
      <c r="H8" s="69" t="s">
        <v>140</v>
      </c>
      <c r="I8" s="70" t="s">
        <v>144</v>
      </c>
      <c r="J8" s="70" t="s">
        <v>134</v>
      </c>
      <c r="K8" s="70"/>
      <c r="L8" s="71"/>
      <c r="M8" s="2">
        <f>COUNTIF(T8:X8,"&gt;0")</f>
        <v>3</v>
      </c>
      <c r="N8" s="2">
        <f>COUNTIF(T8:X8,"&lt;0")</f>
        <v>0</v>
      </c>
      <c r="O8" s="2">
        <f>IF(M8=N8,0,IF(M8&gt;N8,B8,E8))</f>
        <v>43</v>
      </c>
      <c r="P8" s="2" t="str">
        <f>IF($O8=0,"",VLOOKUP($O8,sez!$A$2:$D$259,2))</f>
        <v>Struhárová Jana</v>
      </c>
      <c r="Q8" s="2" t="str">
        <f>IF(M8=N8,"",IF(M8&gt;N8,CONCATENATE(M8,":",N8," (",H8,",",I8,",",J8,IF(SUM(M8:N8)&gt;3,",",""),K8,IF(SUM(M8:N8)&gt;4,",",""),L8,")"),CONCATENATE(N8,":",M8," (",IF(H8="0","-0",-H8),",",IF(I8="0","-0",-I8),",",IF(J8="0","-0",-J8),IF(SUM(M8:N8)&gt;3,CONCATENATE(",",IF(K8="0","-0",-K8)),""),IF(SUM(M8:N8)&gt;4,CONCATENATE(",",IF(L8="0","-0",-L8)),""),")")))</f>
        <v>3:0 (12,11,7)</v>
      </c>
      <c r="R8" s="2" t="str">
        <f>IF(MAX(M8:N8)=3,Q8,"")</f>
        <v>3:0 (12,11,7)</v>
      </c>
      <c r="T8" s="25">
        <f t="shared" si="1"/>
        <v>1</v>
      </c>
      <c r="U8" s="25">
        <f t="shared" si="1"/>
        <v>1</v>
      </c>
      <c r="V8" s="25">
        <f t="shared" si="1"/>
        <v>1</v>
      </c>
      <c r="W8" s="25">
        <f t="shared" si="1"/>
        <v>0</v>
      </c>
      <c r="X8" s="25">
        <f t="shared" si="1"/>
        <v>0</v>
      </c>
    </row>
    <row r="9" spans="8:12" ht="14.25" thickBot="1" thickTop="1">
      <c r="H9" s="19"/>
      <c r="I9" s="19"/>
      <c r="J9" s="19"/>
      <c r="K9" s="19"/>
      <c r="L9" s="19"/>
    </row>
    <row r="10" spans="1:24" ht="14.25" thickBot="1" thickTop="1">
      <c r="A10" s="2" t="str">
        <f>CONCATENATE("Dvouhra ",úvod!$C$8," - finále")</f>
        <v>Dvouhra U13 - finále</v>
      </c>
      <c r="B10" s="2">
        <f>O7</f>
        <v>44</v>
      </c>
      <c r="C10" s="2" t="str">
        <f>IF($B10=0,"",VLOOKUP($B10,sez!$A$2:$D$259,2))</f>
        <v>Machová Adélka</v>
      </c>
      <c r="D10" s="2" t="str">
        <f>IF($B10=0,"",VLOOKUP($B10,sez!$A$2:$E$259,4))</f>
        <v>STP Mikulov</v>
      </c>
      <c r="E10" s="2">
        <f>O8</f>
        <v>43</v>
      </c>
      <c r="F10" s="2" t="str">
        <f>IF($E10=0,"",VLOOKUP($E10,sez!$A$2:$D$259,2))</f>
        <v>Struhárová Jana</v>
      </c>
      <c r="G10" s="2" t="str">
        <f>IF($E10=0,"",VLOOKUP($E10,sez!$A$2:$E$259,4))</f>
        <v>MSK Břeclav</v>
      </c>
      <c r="H10" s="72" t="s">
        <v>130</v>
      </c>
      <c r="I10" s="73" t="s">
        <v>135</v>
      </c>
      <c r="J10" s="73" t="s">
        <v>145</v>
      </c>
      <c r="K10" s="73" t="s">
        <v>124</v>
      </c>
      <c r="L10" s="74"/>
      <c r="M10" s="2">
        <f>COUNTIF(T10:X10,"&gt;0")</f>
        <v>1</v>
      </c>
      <c r="N10" s="2">
        <f>COUNTIF(T10:X10,"&lt;0")</f>
        <v>3</v>
      </c>
      <c r="O10" s="2">
        <f>IF(M10=N10,0,IF(M10&gt;N10,B10,E10))</f>
        <v>43</v>
      </c>
      <c r="P10" s="2" t="str">
        <f>IF($O10=0,"",VLOOKUP($O10,sez!$A$2:$D$259,2))</f>
        <v>Struhárová Jana</v>
      </c>
      <c r="Q10" s="2" t="str">
        <f>IF(M10=N10,"",IF(M10&gt;N10,CONCATENATE(M10,":",N10," (",H10,",",I10,",",J10,IF(SUM(M10:N10)&gt;3,",",""),K10,IF(SUM(M10:N10)&gt;4,",",""),L10,")"),CONCATENATE(N10,":",M10," (",IF(H10="0","-0",-H10),",",IF(I10="0","-0",-I10),",",IF(J10="0","-0",-J10),IF(SUM(M10:N10)&gt;3,CONCATENATE(",",IF(K10="0","-0",-K10)),""),IF(SUM(M10:N10)&gt;4,CONCATENATE(",",IF(L10="0","-0",-L10)),""),")")))</f>
        <v>3:1 (-8,5,11,7)</v>
      </c>
      <c r="R10" s="2" t="str">
        <f>IF(MAX(M10:N10)=3,Q10,"")</f>
        <v>3:1 (-8,5,11,7)</v>
      </c>
      <c r="T10" s="25">
        <f>IF(H10="",0,IF(MID(H10,1,1)="-",-1,1))</f>
        <v>1</v>
      </c>
      <c r="U10" s="25">
        <f>IF(I10="",0,IF(MID(I10,1,1)="-",-1,1))</f>
        <v>-1</v>
      </c>
      <c r="V10" s="25">
        <f>IF(J10="",0,IF(MID(J10,1,1)="-",-1,1))</f>
        <v>-1</v>
      </c>
      <c r="W10" s="25">
        <f>IF(K10="",0,IF(MID(K10,1,1)="-",-1,1))</f>
        <v>-1</v>
      </c>
      <c r="X10" s="25">
        <f>IF(L10="",0,IF(MID(L10,1,1)="-",-1,1))</f>
        <v>0</v>
      </c>
    </row>
    <row r="11" spans="8:12" ht="13.5" thickTop="1">
      <c r="H11" s="19"/>
      <c r="I11" s="19"/>
      <c r="J11" s="19"/>
      <c r="K11" s="19"/>
      <c r="L11" s="19"/>
    </row>
    <row r="12" spans="3:4" ht="12.75">
      <c r="C12" s="2">
        <f>IF($B12=0,"",VLOOKUP($B12,sez!$A$2:$D$259,2))</f>
      </c>
      <c r="D12" s="2">
        <f>IF($B12=0,"",VLOOKUP($B12,sez!$A$2:$D$259,3))</f>
      </c>
    </row>
    <row r="13" spans="3:4" ht="12.75">
      <c r="C13" s="2">
        <f>IF($B13=0,"",VLOOKUP($B13,sez!$A$2:$D$259,2))</f>
      </c>
      <c r="D13" s="2">
        <f>IF($B13=0,"",VLOOKUP($B13,sez!$A$2:$D$259,3))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3.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3" t="str">
        <f>'2.st. M'!B1</f>
        <v>krajské přebory</v>
      </c>
      <c r="H1" s="83"/>
    </row>
    <row r="2" spans="2:8" ht="21" customHeight="1">
      <c r="B2" s="4"/>
      <c r="H2" s="20" t="str">
        <f>CONCATENATE("Čtyřhra ",úvod!C8," Ž")</f>
        <v>Čtyřhra U13 Ž</v>
      </c>
    </row>
    <row r="3" spans="2:8" ht="13.5">
      <c r="B3" s="101">
        <v>43</v>
      </c>
      <c r="C3" s="2" t="str">
        <f>IF($B3="","",CONCATENATE(VLOOKUP($B3,sez!$A$2:$B$259,2)," (",VLOOKUP($B3,sez!$A$2:$E$259,4),")"))</f>
        <v>Struhárová Jana (MSK Břeclav)</v>
      </c>
      <c r="D3" s="4"/>
      <c r="H3" s="15"/>
    </row>
    <row r="4" spans="1:5" ht="12.75">
      <c r="A4" s="2">
        <v>1</v>
      </c>
      <c r="B4" s="5">
        <v>44</v>
      </c>
      <c r="C4" s="5" t="str">
        <f>IF($B4="","bye",CONCATENATE(VLOOKUP($B4,sez!$A$2:$B$259,2)," (",VLOOKUP($B4,sez!$A$2:$E$259,4),")"))</f>
        <v>Machová Adélka (STP Mikulov)</v>
      </c>
      <c r="E4" s="2" t="str">
        <f>'výs čt. Ž'!V2</f>
        <v>Struhárová Jana</v>
      </c>
    </row>
    <row r="5" spans="2:5" ht="12.75">
      <c r="B5" s="101">
        <v>49</v>
      </c>
      <c r="C5" s="2" t="str">
        <f>IF($B5="","",CONCATENATE(VLOOKUP($B5,sez!$A$2:$B$259,2)," (",VLOOKUP($B5,sez!$A$2:$E$259,4),")"))</f>
        <v>Bravencová Karolína (Josefov)</v>
      </c>
      <c r="D5" s="13"/>
      <c r="E5" s="5" t="str">
        <f>'výs čt. Ž'!X2</f>
        <v>Machová Adélka</v>
      </c>
    </row>
    <row r="6" spans="1:6" ht="12.75">
      <c r="A6" s="2">
        <v>2</v>
      </c>
      <c r="B6" s="5">
        <v>53</v>
      </c>
      <c r="C6" s="5" t="str">
        <f>IF($B6="","bye",CONCATENATE(VLOOKUP($B6,sez!$A$2:$B$259,2)," (",VLOOKUP($B6,sez!$A$2:$E$259,4),")"))</f>
        <v>Tufová Laura (SKST Hodonín)</v>
      </c>
      <c r="D6" s="14"/>
      <c r="E6" s="6" t="str">
        <f>'výs čt. Ž'!Z2</f>
        <v>3:0 (7,9,7)</v>
      </c>
      <c r="F6" s="2" t="str">
        <f>'výs čt. Ž'!V7</f>
        <v>Struhárová Jana</v>
      </c>
    </row>
    <row r="7" spans="2:6" ht="12.75">
      <c r="B7" s="101">
        <v>41</v>
      </c>
      <c r="C7" s="2" t="str">
        <f>IF($B7="","",CONCATENATE(VLOOKUP($B7,sez!$A$2:$B$259,2)," (",VLOOKUP($B7,sez!$A$2:$E$259,4),")"))</f>
        <v>Cupáková Bára (KST FOSFA LVA)</v>
      </c>
      <c r="D7" s="15"/>
      <c r="E7" s="8"/>
      <c r="F7" s="9" t="str">
        <f>'výs čt. Ž'!X7</f>
        <v>Machová Adélka</v>
      </c>
    </row>
    <row r="8" spans="1:6" ht="12.75">
      <c r="A8" s="2">
        <v>3</v>
      </c>
      <c r="B8" s="5">
        <v>55</v>
      </c>
      <c r="C8" s="5" t="str">
        <f>IF($B8="","bye",CONCATENATE(VLOOKUP($B8,sez!$A$2:$B$259,2)," (",VLOOKUP($B8,sez!$A$2:$E$259,4),")"))</f>
        <v>Trávníčková Eliška (TJ Brno-Bystrc)</v>
      </c>
      <c r="D8" s="12"/>
      <c r="E8" s="8" t="str">
        <f>'výs čt. Ž'!V3</f>
        <v>Cupáková Bára</v>
      </c>
      <c r="F8" s="6" t="str">
        <f>'výs čt. Ž'!Z7</f>
        <v>3:0 (3,6,8)</v>
      </c>
    </row>
    <row r="9" spans="2:6" ht="12.75">
      <c r="B9" s="101">
        <v>48</v>
      </c>
      <c r="C9" s="2" t="str">
        <f>IF($B9="","",CONCATENATE(VLOOKUP($B9,sez!$A$2:$B$259,2)," (",VLOOKUP($B9,sez!$A$2:$E$259,4),")"))</f>
        <v>Bařinová Tereza (Agrotec Hustopeče)</v>
      </c>
      <c r="D9" s="13"/>
      <c r="E9" s="7" t="str">
        <f>'výs čt. Ž'!X3</f>
        <v>Trávníčková Eliška</v>
      </c>
      <c r="F9" s="8"/>
    </row>
    <row r="10" spans="1:7" ht="12.75">
      <c r="A10" s="2">
        <v>4</v>
      </c>
      <c r="B10" s="5">
        <v>50</v>
      </c>
      <c r="C10" s="5" t="str">
        <f>IF($B10="","bye",CONCATENATE(VLOOKUP($B10,sez!$A$2:$B$259,2)," (",VLOOKUP($B10,sez!$A$2:$E$259,4),")"))</f>
        <v>Zídková Madlen (MSK Břeclav)</v>
      </c>
      <c r="D10" s="14"/>
      <c r="E10" s="2" t="str">
        <f>'výs čt. Ž'!Z3</f>
        <v>3:0 (10,9,4)</v>
      </c>
      <c r="F10" s="8"/>
      <c r="G10" s="2" t="str">
        <f>'výs čt. Ž'!V10</f>
        <v>Struhárová Jana</v>
      </c>
    </row>
    <row r="11" spans="2:7" ht="12.75">
      <c r="B11" s="101">
        <v>46</v>
      </c>
      <c r="C11" s="2" t="str">
        <f>IF($B11="","",CONCATENATE(VLOOKUP($B11,sez!$A$2:$B$259,2)," (",VLOOKUP($B11,sez!$A$2:$E$259,4),")"))</f>
        <v>Polanská Claudia (KST FOSFA LVA)</v>
      </c>
      <c r="D11" s="15"/>
      <c r="F11" s="8"/>
      <c r="G11" s="9" t="str">
        <f>'výs čt. Ž'!X10</f>
        <v>Machová Adélka</v>
      </c>
    </row>
    <row r="12" spans="1:8" ht="12.75">
      <c r="A12" s="2">
        <v>5</v>
      </c>
      <c r="B12" s="5">
        <v>47</v>
      </c>
      <c r="C12" s="5" t="str">
        <f>IF($B12="","bye",CONCATENATE(VLOOKUP($B12,sez!$A$2:$B$259,2)," (",VLOOKUP($B12,sez!$A$2:$E$259,4),")"))</f>
        <v>Zechmeisterová Rebeka (KST FOSFA LVA)</v>
      </c>
      <c r="D12" s="12"/>
      <c r="E12" s="2" t="str">
        <f>'výs čt. Ž'!V4</f>
        <v>Polanská Claudia</v>
      </c>
      <c r="F12" s="8"/>
      <c r="G12" s="87" t="str">
        <f>'výs čt. Ž'!Z10</f>
        <v>3:0 (2,4,8)</v>
      </c>
      <c r="H12" s="82"/>
    </row>
    <row r="13" spans="2:8" ht="12.75">
      <c r="B13" s="101">
        <v>51</v>
      </c>
      <c r="C13" s="2" t="str">
        <f>IF($B13="","",CONCATENATE(VLOOKUP($B13,sez!$A$2:$B$259,2)," (",VLOOKUP($B13,sez!$A$2:$E$259,4),")"))</f>
        <v>Křepelová Kamila (STK Zbraslavec)</v>
      </c>
      <c r="D13" s="13"/>
      <c r="E13" s="5" t="str">
        <f>'výs čt. Ž'!X4</f>
        <v>Zechmeisterová Rebeka</v>
      </c>
      <c r="F13" s="8"/>
      <c r="G13" s="82"/>
      <c r="H13" s="82"/>
    </row>
    <row r="14" spans="1:8" ht="12.75">
      <c r="A14" s="2">
        <v>6</v>
      </c>
      <c r="B14" s="5">
        <v>52</v>
      </c>
      <c r="C14" s="5" t="str">
        <f>IF($B14="","bye",CONCATENATE(VLOOKUP($B14,sez!$A$2:$B$259,2)," (",VLOOKUP($B14,sez!$A$2:$E$259,4),")"))</f>
        <v>Svobodová Kristýna (TJ Jiskra Strážnice)</v>
      </c>
      <c r="D14" s="14"/>
      <c r="E14" s="6" t="str">
        <f>'výs čt. Ž'!Z4</f>
        <v>3:0 (3,5,5)</v>
      </c>
      <c r="F14" s="8" t="str">
        <f>'výs čt. Ž'!V8</f>
        <v>Báťková Pavlína</v>
      </c>
      <c r="G14" s="82"/>
      <c r="H14" s="82"/>
    </row>
    <row r="15" spans="2:8" ht="12.75">
      <c r="B15" s="101">
        <v>54</v>
      </c>
      <c r="C15" s="2" t="str">
        <f>IF($B15="","",CONCATENATE(VLOOKUP($B15,sez!$A$2:$B$259,2)," (",VLOOKUP($B15,sez!$A$2:$E$259,4),")"))</f>
        <v>Konkolová Julie (Rousínovec)</v>
      </c>
      <c r="D15" s="15"/>
      <c r="E15" s="8"/>
      <c r="F15" s="10" t="str">
        <f>'výs čt. Ž'!X8</f>
        <v>Kotásková Julie</v>
      </c>
      <c r="G15" s="82"/>
      <c r="H15" s="82"/>
    </row>
    <row r="16" spans="1:8" ht="12.75">
      <c r="A16" s="2">
        <v>7</v>
      </c>
      <c r="B16" s="5">
        <v>56</v>
      </c>
      <c r="C16" s="5" t="str">
        <f>IF($B16="","bye",CONCATENATE(VLOOKUP($B16,sez!$A$2:$B$259,2)," (",VLOOKUP($B16,sez!$A$2:$E$259,4),")"))</f>
        <v>Hanáčková Lucie (MK Řeznovice)</v>
      </c>
      <c r="D16" s="12"/>
      <c r="E16" s="8" t="str">
        <f>'výs čt. Ž'!V5</f>
        <v>Báťková Pavlína</v>
      </c>
      <c r="F16" s="2" t="str">
        <f>'výs čt. Ž'!Z8</f>
        <v>3:0 (5,5,6)</v>
      </c>
      <c r="G16" s="82"/>
      <c r="H16" s="82"/>
    </row>
    <row r="17" spans="2:8" ht="12.75">
      <c r="B17" s="101">
        <v>42</v>
      </c>
      <c r="C17" s="2" t="str">
        <f>IF($B17="","",CONCATENATE(VLOOKUP($B17,sez!$A$2:$B$259,2)," (",VLOOKUP($B17,sez!$A$2:$E$259,4),")"))</f>
        <v>Báťková Pavlína (SKST Hodonín)</v>
      </c>
      <c r="D17" s="13"/>
      <c r="E17" s="7" t="str">
        <f>'výs čt. Ž'!X5</f>
        <v>Kotásková Julie</v>
      </c>
      <c r="G17" s="82"/>
      <c r="H17" s="82"/>
    </row>
    <row r="18" spans="1:8" ht="12.75">
      <c r="A18" s="2">
        <v>8</v>
      </c>
      <c r="B18" s="5">
        <v>45</v>
      </c>
      <c r="C18" s="5" t="str">
        <f>IF($B18="","bye",CONCATENATE(VLOOKUP($B18,sez!$A$2:$B$259,2)," (",VLOOKUP($B18,sez!$A$2:$E$259,4),")"))</f>
        <v>Kotásková Julie (TJ Mikulčice)</v>
      </c>
      <c r="D18" s="14"/>
      <c r="E18" s="2" t="str">
        <f>'výs čt. Ž'!Z5</f>
        <v>3:0 (8,9,3)</v>
      </c>
      <c r="G18" s="82"/>
      <c r="H18" s="82"/>
    </row>
    <row r="19" spans="3:8" ht="12.75">
      <c r="C19" s="2">
        <f>IF($B19="","",CONCATENATE(VLOOKUP($B19,sez!$A$2:$B$259,2)," (",VLOOKUP($B19,sez!$A$2:$E$259,4),")"))</f>
      </c>
      <c r="D19" s="15"/>
      <c r="G19" s="82"/>
      <c r="H19" s="82"/>
    </row>
    <row r="20" spans="1:8" ht="12.75">
      <c r="A20" s="82"/>
      <c r="B20" s="82"/>
      <c r="C20" s="82"/>
      <c r="D20" s="88"/>
      <c r="E20" s="82"/>
      <c r="F20" s="82"/>
      <c r="G20" s="82"/>
      <c r="H20" s="82"/>
    </row>
    <row r="21" spans="1:8" ht="12.75">
      <c r="A21" s="82"/>
      <c r="B21" s="82"/>
      <c r="C21" s="82"/>
      <c r="D21" s="88"/>
      <c r="E21" s="82"/>
      <c r="F21" s="82"/>
      <c r="G21" s="82"/>
      <c r="H21" s="82"/>
    </row>
    <row r="22" spans="1:8" ht="12.75">
      <c r="A22" s="82"/>
      <c r="B22" s="82"/>
      <c r="C22" s="82"/>
      <c r="D22" s="88"/>
      <c r="E22" s="82"/>
      <c r="F22" s="82"/>
      <c r="G22" s="82"/>
      <c r="H22" s="82"/>
    </row>
    <row r="23" spans="1:8" ht="12.75">
      <c r="A23" s="82"/>
      <c r="B23" s="82"/>
      <c r="C23" s="82"/>
      <c r="D23" s="88"/>
      <c r="E23" s="82"/>
      <c r="F23" s="82"/>
      <c r="G23" s="82"/>
      <c r="H23" s="82"/>
    </row>
    <row r="24" spans="1:8" ht="12.75">
      <c r="A24" s="82"/>
      <c r="B24" s="82"/>
      <c r="C24" s="82"/>
      <c r="D24" s="88"/>
      <c r="E24" s="82"/>
      <c r="F24" s="82"/>
      <c r="G24" s="82"/>
      <c r="H24" s="82"/>
    </row>
    <row r="25" spans="1:8" ht="12.75">
      <c r="A25" s="82"/>
      <c r="B25" s="82"/>
      <c r="C25" s="82"/>
      <c r="D25" s="88"/>
      <c r="E25" s="82"/>
      <c r="F25" s="82"/>
      <c r="G25" s="82"/>
      <c r="H25" s="82"/>
    </row>
    <row r="26" spans="1:8" ht="12.75">
      <c r="A26" s="82"/>
      <c r="B26" s="82"/>
      <c r="C26" s="82"/>
      <c r="D26" s="88"/>
      <c r="E26" s="82"/>
      <c r="F26" s="82"/>
      <c r="G26" s="82"/>
      <c r="H26" s="89"/>
    </row>
    <row r="27" spans="1:8" ht="12.75">
      <c r="A27" s="82"/>
      <c r="B27" s="82"/>
      <c r="C27" s="82"/>
      <c r="D27" s="88"/>
      <c r="E27" s="82"/>
      <c r="F27" s="82"/>
      <c r="G27" s="82"/>
      <c r="H27" s="89"/>
    </row>
    <row r="28" spans="1:8" ht="12.75">
      <c r="A28" s="82"/>
      <c r="B28" s="82"/>
      <c r="C28" s="82"/>
      <c r="D28" s="88"/>
      <c r="E28" s="82"/>
      <c r="F28" s="82"/>
      <c r="G28" s="82"/>
      <c r="H28" s="82"/>
    </row>
    <row r="29" spans="1:8" ht="12.75">
      <c r="A29" s="82"/>
      <c r="B29" s="82"/>
      <c r="C29" s="82"/>
      <c r="D29" s="88"/>
      <c r="E29" s="82"/>
      <c r="F29" s="82"/>
      <c r="G29" s="82"/>
      <c r="H29" s="82"/>
    </row>
    <row r="30" spans="1:8" ht="12.75">
      <c r="A30" s="82"/>
      <c r="B30" s="82"/>
      <c r="C30" s="82"/>
      <c r="D30" s="88"/>
      <c r="E30" s="82"/>
      <c r="F30" s="82"/>
      <c r="G30" s="82"/>
      <c r="H30" s="82"/>
    </row>
    <row r="31" spans="1:8" ht="12.75">
      <c r="A31" s="82"/>
      <c r="B31" s="82"/>
      <c r="C31" s="82"/>
      <c r="D31" s="88"/>
      <c r="E31" s="82"/>
      <c r="F31" s="82"/>
      <c r="G31" s="82"/>
      <c r="H31" s="82"/>
    </row>
    <row r="32" spans="1:8" ht="12.75">
      <c r="A32" s="82"/>
      <c r="B32" s="82"/>
      <c r="C32" s="82"/>
      <c r="D32" s="88"/>
      <c r="E32" s="82"/>
      <c r="F32" s="82"/>
      <c r="G32" s="82"/>
      <c r="H32" s="82"/>
    </row>
    <row r="33" spans="1:8" ht="12.75">
      <c r="A33" s="82"/>
      <c r="B33" s="82"/>
      <c r="C33" s="82"/>
      <c r="D33" s="88"/>
      <c r="E33" s="82"/>
      <c r="F33" s="82"/>
      <c r="G33" s="82"/>
      <c r="H33" s="82"/>
    </row>
    <row r="34" spans="1:8" ht="12.75">
      <c r="A34" s="82"/>
      <c r="B34" s="82"/>
      <c r="C34" s="82"/>
      <c r="D34" s="88"/>
      <c r="E34" s="82"/>
      <c r="F34" s="82"/>
      <c r="G34" s="82"/>
      <c r="H34" s="82"/>
    </row>
    <row r="35" spans="1:8" ht="12.75">
      <c r="A35" s="82"/>
      <c r="B35" s="82"/>
      <c r="C35" s="82"/>
      <c r="D35" s="88"/>
      <c r="E35" s="82"/>
      <c r="F35" s="82"/>
      <c r="G35" s="82"/>
      <c r="H35" s="82"/>
    </row>
    <row r="36" spans="1:8" ht="12.75">
      <c r="A36" s="82"/>
      <c r="B36" s="82"/>
      <c r="C36" s="82"/>
      <c r="D36" s="88"/>
      <c r="E36" s="82"/>
      <c r="F36" s="82"/>
      <c r="G36" s="82"/>
      <c r="H36" s="82"/>
    </row>
    <row r="37" spans="1:8" ht="12.75">
      <c r="A37" s="82"/>
      <c r="B37" s="82"/>
      <c r="C37" s="82"/>
      <c r="D37" s="88"/>
      <c r="E37" s="82"/>
      <c r="F37" s="82"/>
      <c r="G37" s="82"/>
      <c r="H37" s="82"/>
    </row>
    <row r="38" spans="1:8" ht="12.75">
      <c r="A38" s="82"/>
      <c r="B38" s="82"/>
      <c r="C38" s="82"/>
      <c r="D38" s="88"/>
      <c r="E38" s="82"/>
      <c r="F38" s="82"/>
      <c r="G38" s="82"/>
      <c r="H38" s="82"/>
    </row>
    <row r="39" spans="1:8" ht="12.75">
      <c r="A39" s="82"/>
      <c r="B39" s="82"/>
      <c r="C39" s="82"/>
      <c r="D39" s="88"/>
      <c r="E39" s="82"/>
      <c r="F39" s="82"/>
      <c r="G39" s="82"/>
      <c r="H39" s="82"/>
    </row>
    <row r="40" spans="1:8" ht="12.75">
      <c r="A40" s="82"/>
      <c r="B40" s="82"/>
      <c r="C40" s="82"/>
      <c r="D40" s="88"/>
      <c r="E40" s="82"/>
      <c r="F40" s="82"/>
      <c r="G40" s="82"/>
      <c r="H40" s="82"/>
    </row>
    <row r="41" spans="1:8" ht="12.75">
      <c r="A41" s="82"/>
      <c r="B41" s="82"/>
      <c r="C41" s="82"/>
      <c r="D41" s="88"/>
      <c r="E41" s="82"/>
      <c r="F41" s="82"/>
      <c r="G41" s="82"/>
      <c r="H41" s="82"/>
    </row>
    <row r="42" spans="1:8" ht="12.75">
      <c r="A42" s="82"/>
      <c r="B42" s="82"/>
      <c r="C42" s="82"/>
      <c r="D42" s="88"/>
      <c r="E42" s="82"/>
      <c r="F42" s="82"/>
      <c r="G42" s="82"/>
      <c r="H42" s="89"/>
    </row>
    <row r="43" spans="1:8" ht="12.75">
      <c r="A43" s="82"/>
      <c r="B43" s="82"/>
      <c r="C43" s="82"/>
      <c r="D43" s="88"/>
      <c r="E43" s="82"/>
      <c r="F43" s="82"/>
      <c r="G43" s="82"/>
      <c r="H43" s="89"/>
    </row>
    <row r="44" spans="1:8" ht="12.75">
      <c r="A44" s="82"/>
      <c r="B44" s="82"/>
      <c r="C44" s="82"/>
      <c r="D44" s="88"/>
      <c r="E44" s="82"/>
      <c r="F44" s="82"/>
      <c r="G44" s="82"/>
      <c r="H44" s="82"/>
    </row>
    <row r="45" spans="1:8" ht="12.75">
      <c r="A45" s="82"/>
      <c r="B45" s="82"/>
      <c r="C45" s="82"/>
      <c r="D45" s="88"/>
      <c r="E45" s="82"/>
      <c r="F45" s="82"/>
      <c r="G45" s="82"/>
      <c r="H45" s="82"/>
    </row>
    <row r="46" spans="1:8" ht="12.75">
      <c r="A46" s="82"/>
      <c r="B46" s="82"/>
      <c r="C46" s="82"/>
      <c r="D46" s="88"/>
      <c r="E46" s="82"/>
      <c r="F46" s="82"/>
      <c r="G46" s="82"/>
      <c r="H46" s="82"/>
    </row>
    <row r="47" spans="1:8" ht="12.75">
      <c r="A47" s="82"/>
      <c r="B47" s="82"/>
      <c r="C47" s="82"/>
      <c r="D47" s="88"/>
      <c r="E47" s="82"/>
      <c r="F47" s="82"/>
      <c r="G47" s="82"/>
      <c r="H47" s="82"/>
    </row>
    <row r="48" spans="1:8" ht="12.75">
      <c r="A48" s="82"/>
      <c r="B48" s="82"/>
      <c r="C48" s="82"/>
      <c r="D48" s="88"/>
      <c r="E48" s="82"/>
      <c r="F48" s="82"/>
      <c r="G48" s="82"/>
      <c r="H48" s="82"/>
    </row>
    <row r="49" spans="1:8" ht="12.75">
      <c r="A49" s="82"/>
      <c r="B49" s="82"/>
      <c r="C49" s="82"/>
      <c r="D49" s="88"/>
      <c r="E49" s="82"/>
      <c r="F49" s="82"/>
      <c r="G49" s="82"/>
      <c r="H49" s="82"/>
    </row>
    <row r="50" spans="1:8" ht="12.75">
      <c r="A50" s="82"/>
      <c r="B50" s="82"/>
      <c r="C50" s="82"/>
      <c r="D50" s="88"/>
      <c r="E50" s="82"/>
      <c r="F50" s="82"/>
      <c r="G50" s="82"/>
      <c r="H50" s="82"/>
    </row>
    <row r="51" spans="1:8" ht="12.75">
      <c r="A51" s="82"/>
      <c r="B51" s="82"/>
      <c r="C51" s="82"/>
      <c r="D51" s="88"/>
      <c r="E51" s="82"/>
      <c r="F51" s="82"/>
      <c r="G51" s="82"/>
      <c r="H51" s="82"/>
    </row>
    <row r="52" spans="1:8" ht="12.75">
      <c r="A52" s="82"/>
      <c r="B52" s="82"/>
      <c r="C52" s="82"/>
      <c r="D52" s="88"/>
      <c r="E52" s="82"/>
      <c r="F52" s="82"/>
      <c r="G52" s="82"/>
      <c r="H52" s="82"/>
    </row>
    <row r="53" spans="1:8" ht="12.75">
      <c r="A53" s="82"/>
      <c r="B53" s="82"/>
      <c r="C53" s="82"/>
      <c r="D53" s="88"/>
      <c r="E53" s="82"/>
      <c r="F53" s="82"/>
      <c r="G53" s="82"/>
      <c r="H53" s="82"/>
    </row>
    <row r="54" spans="1:8" ht="12.75">
      <c r="A54" s="82"/>
      <c r="B54" s="82"/>
      <c r="C54" s="82"/>
      <c r="D54" s="88"/>
      <c r="E54" s="82"/>
      <c r="F54" s="82"/>
      <c r="G54" s="82"/>
      <c r="H54" s="82"/>
    </row>
    <row r="55" spans="1:8" ht="12.75">
      <c r="A55" s="82"/>
      <c r="B55" s="82"/>
      <c r="C55" s="82"/>
      <c r="D55" s="88"/>
      <c r="E55" s="82"/>
      <c r="F55" s="82"/>
      <c r="G55" s="82"/>
      <c r="H55" s="82"/>
    </row>
    <row r="56" spans="1:8" ht="12.75">
      <c r="A56" s="82"/>
      <c r="B56" s="82"/>
      <c r="C56" s="82"/>
      <c r="D56" s="88"/>
      <c r="E56" s="82"/>
      <c r="F56" s="82"/>
      <c r="G56" s="82"/>
      <c r="H56" s="82"/>
    </row>
    <row r="57" spans="1:8" ht="12.75">
      <c r="A57" s="82"/>
      <c r="B57" s="82"/>
      <c r="C57" s="82"/>
      <c r="D57" s="88"/>
      <c r="E57" s="82"/>
      <c r="F57" s="82"/>
      <c r="G57" s="82"/>
      <c r="H57" s="82"/>
    </row>
    <row r="58" spans="1:8" ht="12.75">
      <c r="A58" s="82"/>
      <c r="B58" s="82"/>
      <c r="C58" s="82"/>
      <c r="D58" s="88"/>
      <c r="E58" s="82"/>
      <c r="F58" s="82"/>
      <c r="G58" s="82"/>
      <c r="H58" s="82"/>
    </row>
    <row r="59" spans="1:7" ht="12.75">
      <c r="A59" s="82"/>
      <c r="B59" s="82"/>
      <c r="C59" s="82"/>
      <c r="D59" s="88"/>
      <c r="E59" s="82"/>
      <c r="F59" s="82"/>
      <c r="G59" s="82"/>
    </row>
    <row r="60" spans="1:7" ht="12.75">
      <c r="A60" s="82"/>
      <c r="B60" s="82"/>
      <c r="C60" s="82"/>
      <c r="D60" s="88"/>
      <c r="E60" s="82"/>
      <c r="F60" s="82"/>
      <c r="G60" s="82"/>
    </row>
    <row r="61" spans="1:7" ht="12.75">
      <c r="A61" s="82"/>
      <c r="B61" s="82"/>
      <c r="C61" s="82"/>
      <c r="D61" s="88"/>
      <c r="E61" s="82"/>
      <c r="F61" s="82"/>
      <c r="G61" s="82"/>
    </row>
    <row r="62" spans="1:7" ht="12.75">
      <c r="A62" s="82"/>
      <c r="B62" s="82"/>
      <c r="C62" s="82"/>
      <c r="D62" s="88"/>
      <c r="E62" s="82"/>
      <c r="F62" s="82"/>
      <c r="G62" s="82"/>
    </row>
    <row r="63" spans="1:7" ht="12.75">
      <c r="A63" s="82"/>
      <c r="B63" s="82"/>
      <c r="C63" s="82"/>
      <c r="D63" s="88"/>
      <c r="E63" s="82"/>
      <c r="F63" s="82"/>
      <c r="G63" s="82"/>
    </row>
    <row r="64" spans="1:7" ht="12.75">
      <c r="A64" s="82"/>
      <c r="B64" s="82"/>
      <c r="C64" s="82"/>
      <c r="D64" s="88"/>
      <c r="E64" s="82"/>
      <c r="F64" s="82"/>
      <c r="G64" s="82"/>
    </row>
    <row r="65" spans="1:7" ht="12.75">
      <c r="A65" s="82"/>
      <c r="B65" s="82"/>
      <c r="C65" s="82"/>
      <c r="D65" s="88"/>
      <c r="E65" s="82"/>
      <c r="F65" s="82"/>
      <c r="G65" s="82"/>
    </row>
    <row r="66" spans="1:7" ht="12.75">
      <c r="A66" s="82"/>
      <c r="B66" s="82"/>
      <c r="C66" s="82"/>
      <c r="D66" s="88"/>
      <c r="E66" s="82"/>
      <c r="F66" s="82"/>
      <c r="G66" s="82"/>
    </row>
    <row r="67" ht="12.75">
      <c r="D67" s="88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pane ySplit="1" topLeftCell="A2" activePane="bottomLeft" state="frozen"/>
      <selection pane="topLeft" activeCell="H19" sqref="H19"/>
      <selection pane="bottomLeft" activeCell="Q10" sqref="Q10"/>
    </sheetView>
  </sheetViews>
  <sheetFormatPr defaultColWidth="9.00390625" defaultRowHeight="12.75"/>
  <cols>
    <col min="1" max="1" width="19.625" style="2" customWidth="1"/>
    <col min="2" max="2" width="4.625" style="2" bestFit="1" customWidth="1"/>
    <col min="3" max="3" width="16.00390625" style="2" bestFit="1" customWidth="1"/>
    <col min="4" max="4" width="7.00390625" style="2" bestFit="1" customWidth="1"/>
    <col min="5" max="5" width="4.625" style="2" bestFit="1" customWidth="1"/>
    <col min="6" max="6" width="16.00390625" style="2" bestFit="1" customWidth="1"/>
    <col min="7" max="7" width="7.00390625" style="2" bestFit="1" customWidth="1"/>
    <col min="8" max="8" width="4.875" style="2" bestFit="1" customWidth="1"/>
    <col min="9" max="9" width="16.00390625" style="2" bestFit="1" customWidth="1"/>
    <col min="10" max="10" width="7.00390625" style="2" bestFit="1" customWidth="1"/>
    <col min="11" max="11" width="4.875" style="2" bestFit="1" customWidth="1"/>
    <col min="12" max="12" width="14.375" style="2" bestFit="1" customWidth="1"/>
    <col min="13" max="13" width="7.00390625" style="2" bestFit="1" customWidth="1"/>
    <col min="14" max="15" width="3.875" style="2" customWidth="1"/>
    <col min="16" max="20" width="4.25390625" style="2" customWidth="1"/>
    <col min="21" max="21" width="4.625" style="2" bestFit="1" customWidth="1"/>
    <col min="22" max="22" width="12.00390625" style="2" customWidth="1"/>
    <col min="23" max="23" width="4.125" style="2" customWidth="1"/>
    <col min="24" max="24" width="11.00390625" style="2" customWidth="1"/>
    <col min="25" max="25" width="3.125" style="2" customWidth="1"/>
    <col min="26" max="26" width="21.75390625" style="2" bestFit="1" customWidth="1"/>
    <col min="27" max="27" width="2.75390625" style="2" customWidth="1"/>
    <col min="28" max="32" width="4.125" style="2" customWidth="1"/>
    <col min="33" max="16384" width="9.125" style="2" customWidth="1"/>
  </cols>
  <sheetData>
    <row r="1" spans="2:21" ht="13.5" thickBot="1">
      <c r="B1" s="1" t="s">
        <v>0</v>
      </c>
      <c r="C1" s="102" t="s">
        <v>1</v>
      </c>
      <c r="D1" s="102" t="s">
        <v>2</v>
      </c>
      <c r="E1" s="102" t="s">
        <v>0</v>
      </c>
      <c r="F1" s="102" t="s">
        <v>3</v>
      </c>
      <c r="G1" s="102" t="s">
        <v>2</v>
      </c>
      <c r="H1" s="102" t="s">
        <v>0</v>
      </c>
      <c r="I1" s="102" t="s">
        <v>14</v>
      </c>
      <c r="J1" s="102" t="s">
        <v>2</v>
      </c>
      <c r="K1" s="102" t="s">
        <v>0</v>
      </c>
      <c r="L1" s="102" t="s">
        <v>15</v>
      </c>
      <c r="M1" s="1" t="s">
        <v>2</v>
      </c>
      <c r="N1" s="23" t="s">
        <v>4</v>
      </c>
      <c r="O1" s="23" t="s">
        <v>5</v>
      </c>
      <c r="P1" s="23" t="s">
        <v>6</v>
      </c>
      <c r="Q1" s="23" t="s">
        <v>7</v>
      </c>
      <c r="R1" s="23" t="s">
        <v>8</v>
      </c>
      <c r="S1" s="1" t="s">
        <v>9</v>
      </c>
      <c r="T1" s="1" t="s">
        <v>10</v>
      </c>
      <c r="U1" s="1" t="s">
        <v>11</v>
      </c>
    </row>
    <row r="2" spans="1:32" ht="13.5" thickTop="1">
      <c r="A2" s="131" t="str">
        <f>CONCATENATE("Čtyřhra ",úvod!$C$8,"Ž - 1.kolo")</f>
        <v>Čtyřhra U13Ž - 1.kolo</v>
      </c>
      <c r="B2" s="131">
        <f>'čt. Ž'!$B$3</f>
        <v>43</v>
      </c>
      <c r="C2" s="131" t="str">
        <f>IF($B2=0,"bye",VLOOKUP($B2,sez!$A$2:$D$259,2))</f>
        <v>Struhárová Jana</v>
      </c>
      <c r="D2" s="131" t="str">
        <f>IF($B2=0,"",VLOOKUP($B2,sez!$A$2:$D$259,4))</f>
        <v>MSK Břeclav</v>
      </c>
      <c r="E2" s="131">
        <f>'čt. Ž'!$B$4</f>
        <v>44</v>
      </c>
      <c r="F2" s="131" t="str">
        <f>IF($E2="","bye",VLOOKUP($E2,sez!$A$2:$D$259,2))</f>
        <v>Machová Adélka</v>
      </c>
      <c r="G2" s="131" t="str">
        <f>IF($E2="","",VLOOKUP($E2,sez!$A$2:$D$259,4))</f>
        <v>STP Mikulov</v>
      </c>
      <c r="H2" s="131">
        <f>'čt. Ž'!$B$5</f>
        <v>49</v>
      </c>
      <c r="I2" s="131" t="str">
        <f>IF($H2=0,"bye",VLOOKUP($H2,sez!$A$2:$D$259,2))</f>
        <v>Bravencová Karolína</v>
      </c>
      <c r="J2" s="131" t="str">
        <f>IF($H2=0,"",VLOOKUP($H2,sez!$A$2:$D$259,4))</f>
        <v>Josefov</v>
      </c>
      <c r="K2" s="131">
        <f>'čt. Ž'!$B$6</f>
        <v>53</v>
      </c>
      <c r="L2" s="131" t="str">
        <f>IF($K2="","bye",VLOOKUP($K2,sez!$A$2:$D$259,2))</f>
        <v>Tufová Laura</v>
      </c>
      <c r="M2" s="131" t="str">
        <f>IF($K2="","",VLOOKUP($K2,sez!$A$2:$D$259,4))</f>
        <v>SKST Hodonín</v>
      </c>
      <c r="N2" s="63" t="s">
        <v>134</v>
      </c>
      <c r="O2" s="64" t="s">
        <v>121</v>
      </c>
      <c r="P2" s="64" t="s">
        <v>134</v>
      </c>
      <c r="Q2" s="64"/>
      <c r="R2" s="65"/>
      <c r="S2" s="2">
        <f>COUNTIF(AB2:AF2,"&gt;0")</f>
        <v>3</v>
      </c>
      <c r="T2" s="2">
        <f>COUNTIF(AB2:AF2,"&lt;0")</f>
        <v>0</v>
      </c>
      <c r="U2" s="2">
        <f>IF(S2=T2,0,IF(S2&gt;T2,B2,H2))</f>
        <v>43</v>
      </c>
      <c r="V2" s="2" t="str">
        <f>IF($U2=0,"",VLOOKUP($U2,sez!$A$2:$D$259,2))</f>
        <v>Struhárová Jana</v>
      </c>
      <c r="W2" s="2">
        <f>IF(S2=T2,0,IF(S2&gt;T2,E2,K2))</f>
        <v>44</v>
      </c>
      <c r="X2" s="2" t="str">
        <f>IF($W2=0,"",VLOOKUP($W2,sez!$A$2:$D$259,2))</f>
        <v>Machová Adélka</v>
      </c>
      <c r="Y2" s="2" t="str">
        <f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>3:0 (7,9,7)</v>
      </c>
      <c r="Z2" s="2" t="str">
        <f>IF(MAX(S2:T2)=3,Y2,"")</f>
        <v>3:0 (7,9,7)</v>
      </c>
      <c r="AB2" s="25">
        <f aca="true" t="shared" si="0" ref="AB2:AF5">IF(N2="",0,IF(MID(N2,1,1)="-",-1,1))</f>
        <v>1</v>
      </c>
      <c r="AC2" s="25">
        <f t="shared" si="0"/>
        <v>1</v>
      </c>
      <c r="AD2" s="25">
        <f t="shared" si="0"/>
        <v>1</v>
      </c>
      <c r="AE2" s="25">
        <f t="shared" si="0"/>
        <v>0</v>
      </c>
      <c r="AF2" s="25">
        <f t="shared" si="0"/>
        <v>0</v>
      </c>
    </row>
    <row r="3" spans="1:32" ht="12.75">
      <c r="A3" s="131" t="str">
        <f>CONCATENATE("Čtyřhra ",úvod!$C$8,"Ž - 1.kolo")</f>
        <v>Čtyřhra U13Ž - 1.kolo</v>
      </c>
      <c r="B3" s="131">
        <f>'čt. Ž'!$B$7</f>
        <v>41</v>
      </c>
      <c r="C3" s="131" t="str">
        <f>IF($B3=0,"bye",VLOOKUP($B3,sez!$A$2:$D$259,2))</f>
        <v>Cupáková Bára</v>
      </c>
      <c r="D3" s="131" t="str">
        <f>IF($B3=0,"",VLOOKUP($B3,sez!$A$2:$D$259,4))</f>
        <v>KST FOSFA LVA</v>
      </c>
      <c r="E3" s="131">
        <f>'čt. Ž'!$B$8</f>
        <v>55</v>
      </c>
      <c r="F3" s="131" t="str">
        <f>IF($E3="","bye",VLOOKUP($E3,sez!$A$2:$D$259,2))</f>
        <v>Trávníčková Eliška</v>
      </c>
      <c r="G3" s="131" t="str">
        <f>IF($E3="","",VLOOKUP($E3,sez!$A$2:$D$259,4))</f>
        <v>TJ Brno-Bystrc</v>
      </c>
      <c r="H3" s="131">
        <f>'čt. Ž'!$B$9</f>
        <v>48</v>
      </c>
      <c r="I3" s="131" t="str">
        <f>IF($H3=0,"bye",VLOOKUP($H3,sez!$A$2:$D$259,2))</f>
        <v>Bařinová Tereza</v>
      </c>
      <c r="J3" s="131" t="str">
        <f>IF($H3=0,"",VLOOKUP($H3,sez!$A$2:$D$259,4))</f>
        <v>Agrotec Hustopeče</v>
      </c>
      <c r="K3" s="131">
        <f>'čt. Ž'!$B$10</f>
        <v>50</v>
      </c>
      <c r="L3" s="131" t="str">
        <f>IF($K3="","bye",VLOOKUP($K3,sez!$A$2:$D$259,2))</f>
        <v>Zídková Madlen</v>
      </c>
      <c r="M3" s="131" t="str">
        <f>IF($K3="","",VLOOKUP($K3,sez!$A$2:$D$259,4))</f>
        <v>MSK Břeclav</v>
      </c>
      <c r="N3" s="66" t="s">
        <v>122</v>
      </c>
      <c r="O3" s="67" t="s">
        <v>121</v>
      </c>
      <c r="P3" s="67" t="s">
        <v>129</v>
      </c>
      <c r="Q3" s="67"/>
      <c r="R3" s="68"/>
      <c r="S3" s="2">
        <f>COUNTIF(AB3:AF3,"&gt;0")</f>
        <v>3</v>
      </c>
      <c r="T3" s="2">
        <f>COUNTIF(AB3:AF3,"&lt;0")</f>
        <v>0</v>
      </c>
      <c r="U3" s="2">
        <f>IF(S3=T3,0,IF(S3&gt;T3,B3,H3))</f>
        <v>41</v>
      </c>
      <c r="V3" s="2" t="str">
        <f>IF($U3=0,"",VLOOKUP($U3,sez!$A$2:$D$259,2))</f>
        <v>Cupáková Bára</v>
      </c>
      <c r="W3" s="2">
        <f>IF(S3=T3,0,IF(S3&gt;T3,E3,K3))</f>
        <v>55</v>
      </c>
      <c r="X3" s="2" t="str">
        <f>IF($W3=0,"",VLOOKUP($W3,sez!$A$2:$D$259,2))</f>
        <v>Trávníčková Eliška</v>
      </c>
      <c r="Y3" s="2" t="str">
        <f>IF(S3=T3,"",IF(S3&gt;T3,CONCATENATE(S3,":",T3," (",N3,",",O3,",",P3,IF(SUM(S3:T3)&gt;3,",",""),Q3,IF(SUM(S3:T3)&gt;4,",",""),R3,")"),CONCATENATE(T3,":",S3," (",-N3,",",-O3,",",-P3,IF(SUM(S3:T3)&gt;3,",",""),IF(SUM(S3:T3)&gt;3,-Q3,""),IF(SUM(S3:T3)&gt;4,",",""),IF(SUM(S3:T3)&gt;4,-R3,""),")")))</f>
        <v>3:0 (10,9,4)</v>
      </c>
      <c r="Z3" s="2" t="str">
        <f>IF(MAX(S3:T3)=3,Y3,"")</f>
        <v>3:0 (10,9,4)</v>
      </c>
      <c r="AB3" s="25">
        <f t="shared" si="0"/>
        <v>1</v>
      </c>
      <c r="AC3" s="25">
        <f t="shared" si="0"/>
        <v>1</v>
      </c>
      <c r="AD3" s="25">
        <f t="shared" si="0"/>
        <v>1</v>
      </c>
      <c r="AE3" s="25">
        <f t="shared" si="0"/>
        <v>0</v>
      </c>
      <c r="AF3" s="25">
        <f t="shared" si="0"/>
        <v>0</v>
      </c>
    </row>
    <row r="4" spans="1:32" ht="12.75">
      <c r="A4" s="131" t="str">
        <f>CONCATENATE("Čtyřhra ",úvod!$C$8,"Ž - 1.kolo")</f>
        <v>Čtyřhra U13Ž - 1.kolo</v>
      </c>
      <c r="B4" s="131">
        <f>'čt. Ž'!$B$11</f>
        <v>46</v>
      </c>
      <c r="C4" s="131" t="str">
        <f>IF($B4=0,"bye",VLOOKUP($B4,sez!$A$2:$D$259,2))</f>
        <v>Polanská Claudia</v>
      </c>
      <c r="D4" s="131" t="str">
        <f>IF($B4=0,"",VLOOKUP($B4,sez!$A$2:$D$259,4))</f>
        <v>KST FOSFA LVA</v>
      </c>
      <c r="E4" s="131">
        <f>'čt. Ž'!$B$12</f>
        <v>47</v>
      </c>
      <c r="F4" s="131" t="str">
        <f>IF($E4="","bye",VLOOKUP($E4,sez!$A$2:$D$259,2))</f>
        <v>Zechmeisterová Rebeka</v>
      </c>
      <c r="G4" s="131" t="str">
        <f>IF($E4="","",VLOOKUP($E4,sez!$A$2:$D$259,4))</f>
        <v>KST FOSFA LVA</v>
      </c>
      <c r="H4" s="131">
        <f>'čt. Ž'!$B$13</f>
        <v>51</v>
      </c>
      <c r="I4" s="131" t="str">
        <f>IF($H4=0,"bye",VLOOKUP($H4,sez!$A$2:$D$259,2))</f>
        <v>Křepelová Kamila</v>
      </c>
      <c r="J4" s="131" t="str">
        <f>IF($H4=0,"",VLOOKUP($H4,sez!$A$2:$D$259,4))</f>
        <v>STK Zbraslavec</v>
      </c>
      <c r="K4" s="131">
        <f>'čt. Ž'!$B$14</f>
        <v>52</v>
      </c>
      <c r="L4" s="131" t="str">
        <f>IF($K4="","bye",VLOOKUP($K4,sez!$A$2:$D$259,2))</f>
        <v>Svobodová Kristýna</v>
      </c>
      <c r="M4" s="131" t="str">
        <f>IF($K4="","",VLOOKUP($K4,sez!$A$2:$D$259,4))</f>
        <v>TJ Jiskra Strážnice</v>
      </c>
      <c r="N4" s="66" t="s">
        <v>132</v>
      </c>
      <c r="O4" s="67" t="s">
        <v>123</v>
      </c>
      <c r="P4" s="67" t="s">
        <v>123</v>
      </c>
      <c r="Q4" s="67"/>
      <c r="R4" s="68"/>
      <c r="S4" s="2">
        <f>COUNTIF(AB4:AF4,"&gt;0")</f>
        <v>3</v>
      </c>
      <c r="T4" s="2">
        <f>COUNTIF(AB4:AF4,"&lt;0")</f>
        <v>0</v>
      </c>
      <c r="U4" s="2">
        <f>IF(S4=T4,0,IF(S4&gt;T4,B4,H4))</f>
        <v>46</v>
      </c>
      <c r="V4" s="2" t="str">
        <f>IF($U4=0,"",VLOOKUP($U4,sez!$A$2:$D$259,2))</f>
        <v>Polanská Claudia</v>
      </c>
      <c r="W4" s="2">
        <f>IF(S4=T4,0,IF(S4&gt;T4,E4,K4))</f>
        <v>47</v>
      </c>
      <c r="X4" s="2" t="str">
        <f>IF($W4=0,"",VLOOKUP($W4,sez!$A$2:$D$259,2))</f>
        <v>Zechmeisterová Rebeka</v>
      </c>
      <c r="Y4" s="2" t="str">
        <f>IF(S4=T4,"",IF(S4&gt;T4,CONCATENATE(S4,":",T4," (",N4,",",O4,",",P4,IF(SUM(S4:T4)&gt;3,",",""),Q4,IF(SUM(S4:T4)&gt;4,",",""),R4,")"),CONCATENATE(T4,":",S4," (",-N4,",",-O4,",",-P4,IF(SUM(S4:T4)&gt;3,",",""),IF(SUM(S4:T4)&gt;3,-Q4,""),IF(SUM(S4:T4)&gt;4,",",""),IF(SUM(S4:T4)&gt;4,-R4,""),")")))</f>
        <v>3:0 (3,5,5)</v>
      </c>
      <c r="Z4" s="2" t="str">
        <f>IF(MAX(S4:T4)=3,Y4,"")</f>
        <v>3:0 (3,5,5)</v>
      </c>
      <c r="AB4" s="25">
        <f t="shared" si="0"/>
        <v>1</v>
      </c>
      <c r="AC4" s="25">
        <f t="shared" si="0"/>
        <v>1</v>
      </c>
      <c r="AD4" s="25">
        <f t="shared" si="0"/>
        <v>1</v>
      </c>
      <c r="AE4" s="25">
        <f t="shared" si="0"/>
        <v>0</v>
      </c>
      <c r="AF4" s="25">
        <f t="shared" si="0"/>
        <v>0</v>
      </c>
    </row>
    <row r="5" spans="1:32" ht="13.5" thickBot="1">
      <c r="A5" s="131" t="str">
        <f>CONCATENATE("Čtyřhra ",úvod!$C$8,"Ž - 1.kolo")</f>
        <v>Čtyřhra U13Ž - 1.kolo</v>
      </c>
      <c r="B5" s="131">
        <f>'čt. Ž'!$B$15</f>
        <v>54</v>
      </c>
      <c r="C5" s="131" t="str">
        <f>IF($B5=0,"bye",VLOOKUP($B5,sez!$A$2:$D$259,2))</f>
        <v>Konkolová Julie</v>
      </c>
      <c r="D5" s="131" t="str">
        <f>IF($B5=0,"",VLOOKUP($B5,sez!$A$2:$D$259,4))</f>
        <v>Rousínovec</v>
      </c>
      <c r="E5" s="131">
        <f>'čt. Ž'!$B$16</f>
        <v>56</v>
      </c>
      <c r="F5" s="131" t="str">
        <f>IF($E5="","bye",VLOOKUP($E5,sez!$A$2:$D$259,2))</f>
        <v>Hanáčková Lucie</v>
      </c>
      <c r="G5" s="131" t="str">
        <f>IF($E5="","",VLOOKUP($E5,sez!$A$2:$D$259,4))</f>
        <v>MK Řeznovice</v>
      </c>
      <c r="H5" s="131">
        <f>'čt. Ž'!$B$17</f>
        <v>42</v>
      </c>
      <c r="I5" s="131" t="str">
        <f>IF($H5=0,"bye",VLOOKUP($H5,sez!$A$2:$D$259,2))</f>
        <v>Báťková Pavlína</v>
      </c>
      <c r="J5" s="131" t="str">
        <f>IF($H5=0,"",VLOOKUP($H5,sez!$A$2:$D$259,4))</f>
        <v>SKST Hodonín</v>
      </c>
      <c r="K5" s="131">
        <f>'čt. Ž'!$B$18</f>
        <v>45</v>
      </c>
      <c r="L5" s="131" t="str">
        <f>IF($K5="","bye",VLOOKUP($K5,sez!$A$2:$D$259,2))</f>
        <v>Kotásková Julie</v>
      </c>
      <c r="M5" s="131" t="str">
        <f>IF($K5="","",VLOOKUP($K5,sez!$A$2:$D$259,4))</f>
        <v>TJ Mikulčice</v>
      </c>
      <c r="N5" s="69" t="s">
        <v>133</v>
      </c>
      <c r="O5" s="70" t="s">
        <v>120</v>
      </c>
      <c r="P5" s="70" t="s">
        <v>125</v>
      </c>
      <c r="Q5" s="70"/>
      <c r="R5" s="71"/>
      <c r="S5" s="2">
        <f>COUNTIF(AB5:AF5,"&gt;0")</f>
        <v>0</v>
      </c>
      <c r="T5" s="2">
        <f>COUNTIF(AB5:AF5,"&lt;0")</f>
        <v>3</v>
      </c>
      <c r="U5" s="2">
        <f>IF(S5=T5,0,IF(S5&gt;T5,B5,H5))</f>
        <v>42</v>
      </c>
      <c r="V5" s="2" t="str">
        <f>IF($U5=0,"",VLOOKUP($U5,sez!$A$2:$D$259,2))</f>
        <v>Báťková Pavlína</v>
      </c>
      <c r="W5" s="2">
        <f>IF(S5=T5,0,IF(S5&gt;T5,E5,K5))</f>
        <v>45</v>
      </c>
      <c r="X5" s="2" t="str">
        <f>IF($W5=0,"",VLOOKUP($W5,sez!$A$2:$D$259,2))</f>
        <v>Kotásková Julie</v>
      </c>
      <c r="Y5" s="2" t="str">
        <f>IF(S5=T5,"",IF(S5&gt;T5,CONCATENATE(S5,":",T5," (",N5,",",O5,",",P5,IF(SUM(S5:T5)&gt;3,",",""),Q5,IF(SUM(S5:T5)&gt;4,",",""),R5,")"),CONCATENATE(T5,":",S5," (",-N5,",",-O5,",",-P5,IF(SUM(S5:T5)&gt;3,",",""),IF(SUM(S5:T5)&gt;3,-Q5,""),IF(SUM(S5:T5)&gt;4,",",""),IF(SUM(S5:T5)&gt;4,-R5,""),")")))</f>
        <v>3:0 (8,9,3)</v>
      </c>
      <c r="Z5" s="2" t="str">
        <f>IF(MAX(S5:T5)=3,Y5,"")</f>
        <v>3:0 (8,9,3)</v>
      </c>
      <c r="AB5" s="25">
        <f t="shared" si="0"/>
        <v>-1</v>
      </c>
      <c r="AC5" s="25">
        <f t="shared" si="0"/>
        <v>-1</v>
      </c>
      <c r="AD5" s="25">
        <f t="shared" si="0"/>
        <v>-1</v>
      </c>
      <c r="AE5" s="25">
        <f t="shared" si="0"/>
        <v>0</v>
      </c>
      <c r="AF5" s="25">
        <f t="shared" si="0"/>
        <v>0</v>
      </c>
    </row>
    <row r="6" spans="3:18" ht="14.25" thickBot="1" thickTop="1">
      <c r="C6" s="103"/>
      <c r="D6" s="103"/>
      <c r="E6" s="103"/>
      <c r="F6" s="103"/>
      <c r="G6" s="103"/>
      <c r="H6" s="103"/>
      <c r="I6" s="103"/>
      <c r="J6" s="103"/>
      <c r="K6" s="103"/>
      <c r="L6" s="103"/>
      <c r="N6" s="19"/>
      <c r="O6" s="19"/>
      <c r="P6" s="19"/>
      <c r="Q6" s="19"/>
      <c r="R6" s="19"/>
    </row>
    <row r="7" spans="1:32" ht="13.5" thickTop="1">
      <c r="A7" s="2" t="str">
        <f>CONCATENATE("Čtyřhra ",úvod!$C$8,"Ž - semifinále")</f>
        <v>Čtyřhra U13Ž - semifinále</v>
      </c>
      <c r="B7" s="2">
        <f>U2</f>
        <v>43</v>
      </c>
      <c r="C7" s="103" t="str">
        <f>IF($B7=0,"",VLOOKUP($B7,sez!$A$2:$D$259,2))</f>
        <v>Struhárová Jana</v>
      </c>
      <c r="D7" s="103" t="str">
        <f>IF($B7=0,"",VLOOKUP($B7,sez!$A$2:$D$259,4))</f>
        <v>MSK Břeclav</v>
      </c>
      <c r="E7" s="103">
        <f>W2</f>
        <v>44</v>
      </c>
      <c r="F7" s="103" t="str">
        <f>IF($E7=0,"",VLOOKUP($E7,sez!$A$2:$D$259,2))</f>
        <v>Machová Adélka</v>
      </c>
      <c r="G7" s="103" t="str">
        <f>IF($E7=0,"",VLOOKUP($E7,sez!$A$2:$D$259,4))</f>
        <v>STP Mikulov</v>
      </c>
      <c r="H7" s="103">
        <f>U3</f>
        <v>41</v>
      </c>
      <c r="I7" s="103" t="str">
        <f>IF($H7=0,"",VLOOKUP($H7,sez!$A$2:$D$259,2))</f>
        <v>Cupáková Bára</v>
      </c>
      <c r="J7" s="103" t="str">
        <f>IF($H7=0,"",VLOOKUP($H7,sez!$A$2:$D$259,4))</f>
        <v>KST FOSFA LVA</v>
      </c>
      <c r="K7" s="103">
        <f>W3</f>
        <v>55</v>
      </c>
      <c r="L7" s="103" t="str">
        <f>IF($K7=0,"",VLOOKUP($K7,sez!$A$2:$D$259,2))</f>
        <v>Trávníčková Eliška</v>
      </c>
      <c r="M7" s="2" t="str">
        <f>IF($K7=0,"",VLOOKUP($K7,sez!$A$2:$D$259,4))</f>
        <v>TJ Brno-Bystrc</v>
      </c>
      <c r="N7" s="63" t="s">
        <v>132</v>
      </c>
      <c r="O7" s="64" t="s">
        <v>131</v>
      </c>
      <c r="P7" s="64" t="s">
        <v>130</v>
      </c>
      <c r="Q7" s="64"/>
      <c r="R7" s="65"/>
      <c r="S7" s="2">
        <f>COUNTIF(AB7:AF7,"&gt;0")</f>
        <v>3</v>
      </c>
      <c r="T7" s="2">
        <f>COUNTIF(AB7:AF7,"&lt;0")</f>
        <v>0</v>
      </c>
      <c r="U7" s="2">
        <f>IF(S7=T7,0,IF(S7&gt;T7,B7,H7))</f>
        <v>43</v>
      </c>
      <c r="V7" s="2" t="str">
        <f>IF($U7=0,"",VLOOKUP($U7,sez!$A$2:$D$259,2))</f>
        <v>Struhárová Jana</v>
      </c>
      <c r="W7" s="2">
        <f>IF(S7=T7,0,IF(S7&gt;T7,E7,K7))</f>
        <v>44</v>
      </c>
      <c r="X7" s="2" t="str">
        <f>IF($W7=0,"",VLOOKUP($W7,sez!$A$2:$D$259,2))</f>
        <v>Machová Adélka</v>
      </c>
      <c r="Y7" s="2" t="str">
        <f>IF(S7=T7,"",IF(S7&gt;T7,CONCATENATE(S7,":",T7," (",N7,",",O7,",",P7,IF(SUM(S7:T7)&gt;3,",",""),Q7,IF(SUM(S7:T7)&gt;4,",",""),R7,")"),CONCATENATE(T7,":",S7," (",-N7,",",-O7,",",-P7,IF(SUM(S7:T7)&gt;3,",",""),IF(SUM(S7:T7)&gt;3,-Q7,""),IF(SUM(S7:T7)&gt;4,",",""),IF(SUM(S7:T7)&gt;4,-R7,""),")")))</f>
        <v>3:0 (3,6,8)</v>
      </c>
      <c r="Z7" s="2" t="str">
        <f>IF(MAX(S7:T7)=3,Y7,"")</f>
        <v>3:0 (3,6,8)</v>
      </c>
      <c r="AB7" s="25">
        <f aca="true" t="shared" si="1" ref="AB7:AF8">IF(N7="",0,IF(MID(N7,1,1)="-",-1,1))</f>
        <v>1</v>
      </c>
      <c r="AC7" s="25">
        <f t="shared" si="1"/>
        <v>1</v>
      </c>
      <c r="AD7" s="25">
        <f t="shared" si="1"/>
        <v>1</v>
      </c>
      <c r="AE7" s="25">
        <f t="shared" si="1"/>
        <v>0</v>
      </c>
      <c r="AF7" s="25">
        <f t="shared" si="1"/>
        <v>0</v>
      </c>
    </row>
    <row r="8" spans="1:32" ht="13.5" thickBot="1">
      <c r="A8" s="2" t="str">
        <f>CONCATENATE("Čtyřhra ",úvod!$C$8,"Ž - semifinále")</f>
        <v>Čtyřhra U13Ž - semifinále</v>
      </c>
      <c r="B8" s="2">
        <f>U4</f>
        <v>46</v>
      </c>
      <c r="C8" s="103" t="str">
        <f>IF($B8=0,"",VLOOKUP($B8,sez!$A$2:$D$259,2))</f>
        <v>Polanská Claudia</v>
      </c>
      <c r="D8" s="103" t="str">
        <f>IF($B8=0,"",VLOOKUP($B8,sez!$A$2:$D$259,4))</f>
        <v>KST FOSFA LVA</v>
      </c>
      <c r="E8" s="103">
        <f>W4</f>
        <v>47</v>
      </c>
      <c r="F8" s="103" t="str">
        <f>IF($E8=0,"",VLOOKUP($E8,sez!$A$2:$D$259,2))</f>
        <v>Zechmeisterová Rebeka</v>
      </c>
      <c r="G8" s="103" t="str">
        <f>IF($E8=0,"",VLOOKUP($E8,sez!$A$2:$D$259,4))</f>
        <v>KST FOSFA LVA</v>
      </c>
      <c r="H8" s="103">
        <f>U5</f>
        <v>42</v>
      </c>
      <c r="I8" s="103" t="str">
        <f>IF($H8=0,"",VLOOKUP($H8,sez!$A$2:$D$259,2))</f>
        <v>Báťková Pavlína</v>
      </c>
      <c r="J8" s="103" t="str">
        <f>IF($H8=0,"",VLOOKUP($H8,sez!$A$2:$D$259,4))</f>
        <v>SKST Hodonín</v>
      </c>
      <c r="K8" s="103">
        <f>W5</f>
        <v>45</v>
      </c>
      <c r="L8" s="103" t="str">
        <f>IF($K8=0,"",VLOOKUP($K8,sez!$A$2:$D$259,2))</f>
        <v>Kotásková Julie</v>
      </c>
      <c r="M8" s="2" t="str">
        <f>IF($K8=0,"",VLOOKUP($K8,sez!$A$2:$D$259,4))</f>
        <v>TJ Mikulčice</v>
      </c>
      <c r="N8" s="69" t="s">
        <v>135</v>
      </c>
      <c r="O8" s="70" t="s">
        <v>135</v>
      </c>
      <c r="P8" s="70" t="s">
        <v>137</v>
      </c>
      <c r="Q8" s="70"/>
      <c r="R8" s="71"/>
      <c r="S8" s="2">
        <f>COUNTIF(AB8:AF8,"&gt;0")</f>
        <v>0</v>
      </c>
      <c r="T8" s="2">
        <f>COUNTIF(AB8:AF8,"&lt;0")</f>
        <v>3</v>
      </c>
      <c r="U8" s="2">
        <f>IF(S8=T8,0,IF(S8&gt;T8,B8,H8))</f>
        <v>42</v>
      </c>
      <c r="V8" s="2" t="str">
        <f>IF($U8=0,"",VLOOKUP($U8,sez!$A$2:$D$259,2))</f>
        <v>Báťková Pavlína</v>
      </c>
      <c r="W8" s="2">
        <f>IF(S8=T8,0,IF(S8&gt;T8,E8,K8))</f>
        <v>45</v>
      </c>
      <c r="X8" s="2" t="str">
        <f>IF($W8=0,"",VLOOKUP($W8,sez!$A$2:$D$259,2))</f>
        <v>Kotásková Julie</v>
      </c>
      <c r="Y8" s="2" t="str">
        <f>IF(S8=T8,"",IF(S8&gt;T8,CONCATENATE(S8,":",T8," (",N8,",",O8,",",P8,IF(SUM(S8:T8)&gt;3,",",""),Q8,IF(SUM(S8:T8)&gt;4,",",""),R8,")"),CONCATENATE(T8,":",S8," (",-N8,",",-O8,",",-P8,IF(SUM(S8:T8)&gt;3,",",""),IF(SUM(S8:T8)&gt;3,-Q8,""),IF(SUM(S8:T8)&gt;4,",",""),IF(SUM(S8:T8)&gt;4,-R8,""),")")))</f>
        <v>3:0 (5,5,6)</v>
      </c>
      <c r="Z8" s="2" t="str">
        <f>IF(MAX(S8:T8)=3,Y8,"")</f>
        <v>3:0 (5,5,6)</v>
      </c>
      <c r="AB8" s="25">
        <f t="shared" si="1"/>
        <v>-1</v>
      </c>
      <c r="AC8" s="25">
        <f t="shared" si="1"/>
        <v>-1</v>
      </c>
      <c r="AD8" s="25">
        <f t="shared" si="1"/>
        <v>-1</v>
      </c>
      <c r="AE8" s="25">
        <f t="shared" si="1"/>
        <v>0</v>
      </c>
      <c r="AF8" s="25">
        <f t="shared" si="1"/>
        <v>0</v>
      </c>
    </row>
    <row r="9" spans="3:18" ht="14.25" thickBot="1" thickTop="1">
      <c r="C9" s="103"/>
      <c r="D9" s="103"/>
      <c r="E9" s="103"/>
      <c r="F9" s="103"/>
      <c r="G9" s="103"/>
      <c r="H9" s="103"/>
      <c r="I9" s="103"/>
      <c r="J9" s="103"/>
      <c r="K9" s="103"/>
      <c r="L9" s="103"/>
      <c r="N9" s="19"/>
      <c r="O9" s="19"/>
      <c r="P9" s="19"/>
      <c r="Q9" s="19"/>
      <c r="R9" s="19"/>
    </row>
    <row r="10" spans="1:32" ht="14.25" thickBot="1" thickTop="1">
      <c r="A10" s="2" t="str">
        <f>CONCATENATE("Čtyřhra ",úvod!$C$8,"Ž - finále")</f>
        <v>Čtyřhra U13Ž - finále</v>
      </c>
      <c r="B10" s="2">
        <f>U7</f>
        <v>43</v>
      </c>
      <c r="C10" s="103" t="str">
        <f>IF($B10=0,"",VLOOKUP($B10,sez!$A$2:$D$259,2))</f>
        <v>Struhárová Jana</v>
      </c>
      <c r="D10" s="103" t="str">
        <f>IF($B10=0,"",VLOOKUP($B10,sez!$A$2:$D$259,4))</f>
        <v>MSK Břeclav</v>
      </c>
      <c r="E10" s="103">
        <f>W7</f>
        <v>44</v>
      </c>
      <c r="F10" s="103" t="str">
        <f>IF($E10=0,"",VLOOKUP($E10,sez!$A$2:$D$259,2))</f>
        <v>Machová Adélka</v>
      </c>
      <c r="G10" s="103" t="str">
        <f>IF($E10=0,"",VLOOKUP($E10,sez!$A$2:$D$259,4))</f>
        <v>STP Mikulov</v>
      </c>
      <c r="H10" s="103">
        <f>U8</f>
        <v>42</v>
      </c>
      <c r="I10" s="103" t="str">
        <f>IF($H10=0,"",VLOOKUP($H10,sez!$A$2:$D$259,2))</f>
        <v>Báťková Pavlína</v>
      </c>
      <c r="J10" s="103" t="str">
        <f>IF($H10=0,"",VLOOKUP($H10,sez!$A$2:$D$259,4))</f>
        <v>SKST Hodonín</v>
      </c>
      <c r="K10" s="103">
        <f>W8</f>
        <v>45</v>
      </c>
      <c r="L10" s="103" t="str">
        <f>IF($K10=0,"",VLOOKUP($K10,sez!$A$2:$D$259,2))</f>
        <v>Kotásková Julie</v>
      </c>
      <c r="M10" s="2" t="str">
        <f>IF($K10=0,"",VLOOKUP($K10,sez!$A$2:$D$259,4))</f>
        <v>TJ Mikulčice</v>
      </c>
      <c r="N10" s="72" t="s">
        <v>128</v>
      </c>
      <c r="O10" s="73" t="s">
        <v>129</v>
      </c>
      <c r="P10" s="73" t="s">
        <v>130</v>
      </c>
      <c r="Q10" s="73"/>
      <c r="R10" s="74"/>
      <c r="S10" s="2">
        <f>COUNTIF(AB10:AF10,"&gt;0")</f>
        <v>3</v>
      </c>
      <c r="T10" s="2">
        <f>COUNTIF(AB10:AF10,"&lt;0")</f>
        <v>0</v>
      </c>
      <c r="U10" s="2">
        <f>IF(S10=T10,0,IF(S10&gt;T10,B10,H10))</f>
        <v>43</v>
      </c>
      <c r="V10" s="2" t="str">
        <f>IF($U10=0,"",VLOOKUP($U10,sez!$A$2:$D$259,2))</f>
        <v>Struhárová Jana</v>
      </c>
      <c r="W10" s="2">
        <f>IF(S10=T10,0,IF(S10&gt;T10,E10,K10))</f>
        <v>44</v>
      </c>
      <c r="X10" s="2" t="str">
        <f>IF($W10=0,"",VLOOKUP($W10,sez!$A$2:$D$259,2))</f>
        <v>Machová Adélka</v>
      </c>
      <c r="Y10" s="2" t="str">
        <f>IF(S10=T10,"",IF(S10&gt;T10,CONCATENATE(S10,":",T10," (",N10,",",O10,",",P10,IF(SUM(S10:T10)&gt;3,",",""),Q10,IF(SUM(S10:T10)&gt;4,",",""),R10,")"),CONCATENATE(T10,":",S10," (",-N10,",",-O10,",",-P10,IF(SUM(S10:T10)&gt;3,",",""),IF(SUM(S10:T10)&gt;3,-Q10,""),IF(SUM(S10:T10)&gt;4,",",""),IF(SUM(S10:T10)&gt;4,-R10,""),")")))</f>
        <v>3:0 (2,4,8)</v>
      </c>
      <c r="Z10" s="2" t="str">
        <f>IF(MAX(S10:T10)=3,Y10,"")</f>
        <v>3:0 (2,4,8)</v>
      </c>
      <c r="AB10" s="25">
        <f>IF(N10="",0,IF(MID(N10,1,1)="-",-1,1))</f>
        <v>1</v>
      </c>
      <c r="AC10" s="25">
        <f>IF(O10="",0,IF(MID(O10,1,1)="-",-1,1))</f>
        <v>1</v>
      </c>
      <c r="AD10" s="25">
        <f>IF(P10="",0,IF(MID(P10,1,1)="-",-1,1))</f>
        <v>1</v>
      </c>
      <c r="AE10" s="25">
        <f>IF(Q10="",0,IF(MID(Q10,1,1)="-",-1,1))</f>
        <v>0</v>
      </c>
      <c r="AF10" s="25">
        <f>IF(R10="",0,IF(MID(R10,1,1)="-",-1,1))</f>
        <v>0</v>
      </c>
    </row>
    <row r="11" spans="3:12" ht="13.5" thickTop="1"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3:12" ht="12.75"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3:12" ht="12.75"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3" t="str">
        <f>'2.st. M'!B1</f>
        <v>krajské přebory</v>
      </c>
      <c r="H1" s="83"/>
    </row>
    <row r="2" spans="2:8" ht="21" customHeight="1">
      <c r="B2" s="4"/>
      <c r="H2" s="20" t="str">
        <f>CONCATENATE("Čtyřhra ",úvod!C8," M")</f>
        <v>Čtyřhra U13 M</v>
      </c>
    </row>
    <row r="3" spans="2:8" ht="13.5">
      <c r="B3" s="101">
        <v>1</v>
      </c>
      <c r="C3" s="2" t="str">
        <f>IF($B3="","",CONCATENATE(VLOOKUP($B3,sez!$A$2:$B$259,2)," (",VLOOKUP($B3,sez!$A$2:$E$259,4),")"))</f>
        <v>Flajšar Pavel (SKST N. Lískovec)</v>
      </c>
      <c r="D3" s="4"/>
      <c r="H3" s="15"/>
    </row>
    <row r="4" spans="1:5" ht="12.75">
      <c r="A4" s="2">
        <v>1</v>
      </c>
      <c r="B4" s="5">
        <f>IF(B3="","",VLOOKUP(B3,debl!$B$1:$C$46,2,FALSE))</f>
        <v>2</v>
      </c>
      <c r="C4" s="5" t="str">
        <f>IF($B4="","bye",CONCATENATE(VLOOKUP($B4,sez!$A$2:$B$259,2)," (",VLOOKUP($B4,sez!$A$2:$E$259,4),")"))</f>
        <v>Vokřínek Tomáš (MS Brno)</v>
      </c>
      <c r="E4" s="2" t="str">
        <f>'výs čt. M'!V2</f>
        <v>Flajšar Pavel</v>
      </c>
    </row>
    <row r="5" spans="2:5" ht="12.75">
      <c r="B5" s="101">
        <v>20</v>
      </c>
      <c r="C5" s="2" t="str">
        <f>IF($B5="","",CONCATENATE(VLOOKUP($B5,sez!$A$2:$B$259,2)," (",VLOOKUP($B5,sez!$A$2:$E$259,4),")"))</f>
        <v>Sedláček Matěj (Agrotec Hustopeče)</v>
      </c>
      <c r="D5" s="13"/>
      <c r="E5" s="5" t="str">
        <f>'výs čt. M'!X2</f>
        <v>Vokřínek Tomáš</v>
      </c>
    </row>
    <row r="6" spans="1:6" ht="12.75">
      <c r="A6" s="2">
        <v>2</v>
      </c>
      <c r="B6" s="5">
        <f>IF(B5="","",VLOOKUP(B5,debl!$B$1:$C$46,2,FALSE))</f>
        <v>31</v>
      </c>
      <c r="C6" s="5" t="str">
        <f>IF($B6="","bye",CONCATENATE(VLOOKUP($B6,sez!$A$2:$B$259,2)," (",VLOOKUP($B6,sez!$A$2:$E$259,4),")"))</f>
        <v>Topinka Vojtěch (Agrotec Hustopeče)</v>
      </c>
      <c r="D6" s="14"/>
      <c r="E6" s="6" t="str">
        <f>'výs čt. M'!Z2</f>
        <v>3:0 (10,4,7)</v>
      </c>
      <c r="F6" s="2" t="str">
        <f>'výs čt. M'!V11</f>
        <v>Flajšar Pavel</v>
      </c>
    </row>
    <row r="7" spans="2:6" ht="12.75">
      <c r="B7" s="101">
        <v>19</v>
      </c>
      <c r="C7" s="2" t="str">
        <f>IF($B7="","",CONCATENATE(VLOOKUP($B7,sez!$A$2:$B$259,2)," (",VLOOKUP($B7,sez!$A$2:$E$259,4),")"))</f>
        <v>Telecký Radovan (Orel Šlapanice)</v>
      </c>
      <c r="D7" s="15"/>
      <c r="E7" s="8"/>
      <c r="F7" s="9" t="str">
        <f>'výs čt. M'!X11</f>
        <v>Vokřínek Tomáš</v>
      </c>
    </row>
    <row r="8" spans="1:6" ht="12.75">
      <c r="A8" s="2">
        <v>3</v>
      </c>
      <c r="B8" s="5">
        <f>IF(B7="","",VLOOKUP(B7,debl!$B$1:$C$46,2,FALSE))</f>
        <v>30</v>
      </c>
      <c r="C8" s="5" t="str">
        <f>IF($B8="","bye",CONCATENATE(VLOOKUP($B8,sez!$A$2:$B$259,2)," (",VLOOKUP($B8,sez!$A$2:$E$259,4),")"))</f>
        <v>Kouřil Antonín (MK Řeznovice)</v>
      </c>
      <c r="D8" s="12"/>
      <c r="E8" s="8" t="str">
        <f>'výs čt. M'!V3</f>
        <v>Macánek Martin</v>
      </c>
      <c r="F8" s="6" t="str">
        <f>'výs čt. M'!Z11</f>
        <v>3:0 (10,7,2)</v>
      </c>
    </row>
    <row r="9" spans="2:6" ht="12.75">
      <c r="B9" s="101">
        <v>9</v>
      </c>
      <c r="C9" s="2" t="str">
        <f>IF($B9="","",CONCATENATE(VLOOKUP($B9,sez!$A$2:$B$259,2)," (",VLOOKUP($B9,sez!$A$2:$E$259,4),")"))</f>
        <v>Macánek Martin (SKST Hodonín)</v>
      </c>
      <c r="D9" s="13"/>
      <c r="E9" s="7" t="str">
        <f>'výs čt. M'!X3</f>
        <v>Kmenta Josef</v>
      </c>
      <c r="F9" s="8"/>
    </row>
    <row r="10" spans="1:7" ht="12.75">
      <c r="A10" s="2">
        <v>4</v>
      </c>
      <c r="B10" s="5">
        <f>IF(B9="","",VLOOKUP(B9,debl!$B$1:$C$46,2,FALSE))</f>
        <v>26</v>
      </c>
      <c r="C10" s="5" t="str">
        <f>IF($B10="","bye",CONCATENATE(VLOOKUP($B10,sez!$A$2:$B$259,2)," (",VLOOKUP($B10,sez!$A$2:$E$259,4),")"))</f>
        <v>Kmenta Josef (SKST Hodonín)</v>
      </c>
      <c r="D10" s="14"/>
      <c r="E10" s="2" t="str">
        <f>'výs čt. M'!Z3</f>
        <v>3:1 (-9,10,5,7)</v>
      </c>
      <c r="F10" s="8"/>
      <c r="G10" s="2" t="str">
        <f>'výs čt. M'!V16</f>
        <v>Flajšar Pavel</v>
      </c>
    </row>
    <row r="11" spans="2:7" ht="12.75">
      <c r="B11" s="101">
        <v>6</v>
      </c>
      <c r="C11" s="2" t="str">
        <f>IF($B11="","",CONCATENATE(VLOOKUP($B11,sez!$A$2:$B$259,2)," (",VLOOKUP($B11,sez!$A$2:$E$259,4),")"))</f>
        <v>Koudelka David (MS Brno)</v>
      </c>
      <c r="D11" s="15"/>
      <c r="F11" s="8"/>
      <c r="G11" s="9" t="str">
        <f>'výs čt. M'!X16</f>
        <v>Vokřínek Tomáš</v>
      </c>
    </row>
    <row r="12" spans="1:7" ht="12.75">
      <c r="A12" s="2">
        <v>5</v>
      </c>
      <c r="B12" s="5">
        <f>IF(B11="","",VLOOKUP(B11,debl!$B$1:$C$46,2,FALSE))</f>
        <v>16</v>
      </c>
      <c r="C12" s="5" t="str">
        <f>IF($B12="","bye",CONCATENATE(VLOOKUP($B12,sez!$A$2:$B$259,2)," (",VLOOKUP($B12,sez!$A$2:$E$259,4),")"))</f>
        <v>Čelko Ondřej (Sokol Líšeň)</v>
      </c>
      <c r="D12" s="12"/>
      <c r="E12" s="2" t="str">
        <f>'výs čt. M'!V4</f>
        <v>Koudelka David</v>
      </c>
      <c r="F12" s="8"/>
      <c r="G12" s="6" t="str">
        <f>'výs čt. M'!Z16</f>
        <v>3:0 (7,6,6)</v>
      </c>
    </row>
    <row r="13" spans="2:7" ht="12.75">
      <c r="B13" s="101">
        <v>10</v>
      </c>
      <c r="C13" s="2" t="str">
        <f>IF($B13="","",CONCATENATE(VLOOKUP($B13,sez!$A$2:$B$259,2)," (",VLOOKUP($B13,sez!$A$2:$E$259,4),")"))</f>
        <v>Křepela David (STK Zbraslavec)</v>
      </c>
      <c r="D13" s="13"/>
      <c r="E13" s="5" t="str">
        <f>'výs čt. M'!X4</f>
        <v>Čelko Ondřej</v>
      </c>
      <c r="F13" s="8"/>
      <c r="G13" s="8"/>
    </row>
    <row r="14" spans="1:7" ht="12.75">
      <c r="A14" s="2">
        <v>6</v>
      </c>
      <c r="B14" s="5">
        <f>IF(B13="","",VLOOKUP(B13,debl!$B$1:$C$46,2,FALSE))</f>
        <v>28</v>
      </c>
      <c r="C14" s="5" t="str">
        <f>IF($B14="","bye",CONCATENATE(VLOOKUP($B14,sez!$A$2:$B$259,2)," (",VLOOKUP($B14,sez!$A$2:$E$259,4),")"))</f>
        <v>Veselý Eliáš (KST Vyškov)</v>
      </c>
      <c r="D14" s="14"/>
      <c r="E14" s="6" t="str">
        <f>'výs čt. M'!Z4</f>
        <v>3:1 (2,5,-9,5)</v>
      </c>
      <c r="F14" s="8" t="str">
        <f>'výs čt. M'!V12</f>
        <v>Štěpánek Adam</v>
      </c>
      <c r="G14" s="8"/>
    </row>
    <row r="15" spans="2:7" ht="12.75">
      <c r="B15" s="101">
        <v>14</v>
      </c>
      <c r="C15" s="2" t="str">
        <f>IF($B15="","",CONCATENATE(VLOOKUP($B15,sez!$A$2:$B$259,2)," (",VLOOKUP($B15,sez!$A$2:$E$259,4),")"))</f>
        <v>Strnad Mikuláš (Sokol Brno I)</v>
      </c>
      <c r="D15" s="15"/>
      <c r="E15" s="8"/>
      <c r="F15" s="10" t="str">
        <f>'výs čt. M'!X12</f>
        <v>Jež Vítek</v>
      </c>
      <c r="G15" s="8"/>
    </row>
    <row r="16" spans="1:7" ht="12.75">
      <c r="A16" s="2">
        <v>7</v>
      </c>
      <c r="B16" s="5">
        <f>IF(B15="","",VLOOKUP(B15,debl!$B$1:$C$46,2,FALSE))</f>
        <v>25</v>
      </c>
      <c r="C16" s="5" t="str">
        <f>IF($B16="","bye",CONCATENATE(VLOOKUP($B16,sez!$A$2:$B$259,2)," (",VLOOKUP($B16,sez!$A$2:$E$259,4),")"))</f>
        <v>Vlk Oliver (Sokol Brno I)</v>
      </c>
      <c r="D16" s="12"/>
      <c r="E16" s="8" t="str">
        <f>'výs čt. M'!V5</f>
        <v>Štěpánek Adam</v>
      </c>
      <c r="F16" s="2" t="str">
        <f>'výs čt. M'!Z12</f>
        <v>3:0 (4,7,4)</v>
      </c>
      <c r="G16" s="8"/>
    </row>
    <row r="17" spans="2:7" ht="12.75">
      <c r="B17" s="101">
        <v>4</v>
      </c>
      <c r="C17" s="2" t="str">
        <f>IF($B17="","",CONCATENATE(VLOOKUP($B17,sez!$A$2:$B$259,2)," (",VLOOKUP($B17,sez!$A$2:$E$259,4),")"))</f>
        <v>Štěpánek Adam (STP Mikulov)</v>
      </c>
      <c r="D17" s="13"/>
      <c r="E17" s="7" t="str">
        <f>'výs čt. M'!X5</f>
        <v>Jež Vítek</v>
      </c>
      <c r="G17" s="8"/>
    </row>
    <row r="18" spans="1:8" ht="12.75">
      <c r="A18" s="2">
        <v>8</v>
      </c>
      <c r="B18" s="5">
        <f>IF(B17="","",VLOOKUP(B17,debl!$B$1:$C$46,2,FALSE))</f>
        <v>12</v>
      </c>
      <c r="C18" s="5" t="str">
        <f>IF($B18="","bye",CONCATENATE(VLOOKUP($B18,sez!$A$2:$B$259,2)," (",VLOOKUP($B18,sez!$A$2:$E$259,4),")"))</f>
        <v>Jež Vítek (STP Mikulov)</v>
      </c>
      <c r="D18" s="14"/>
      <c r="E18" s="2" t="str">
        <f>'výs čt. M'!Z5</f>
        <v>3:0 (0,0,0)</v>
      </c>
      <c r="G18" s="8"/>
      <c r="H18" s="1" t="str">
        <f>'výs čt. M'!V19</f>
        <v>Flajšar Pavel</v>
      </c>
    </row>
    <row r="19" spans="2:8" ht="12.75">
      <c r="B19" s="101">
        <v>5</v>
      </c>
      <c r="C19" s="2" t="str">
        <f>IF($B19="","",CONCATENATE(VLOOKUP($B19,sez!$A$2:$B$259,2)," (",VLOOKUP($B19,sez!$A$2:$E$259,4),")"))</f>
        <v>Solfronk Adam (MS Brno)</v>
      </c>
      <c r="D19" s="15"/>
      <c r="G19" s="8"/>
      <c r="H19" s="21" t="str">
        <f>'výs čt. M'!X19</f>
        <v>Vokřínek Tomáš</v>
      </c>
    </row>
    <row r="20" spans="1:8" ht="12.75">
      <c r="A20" s="2">
        <v>9</v>
      </c>
      <c r="B20" s="5">
        <f>IF(B19="","",VLOOKUP(B19,debl!$B$1:$C$46,2,FALSE))</f>
        <v>8</v>
      </c>
      <c r="C20" s="5" t="str">
        <f>IF($B20="","bye",CONCATENATE(VLOOKUP($B20,sez!$A$2:$B$259,2)," (",VLOOKUP($B20,sez!$A$2:$E$259,4),")"))</f>
        <v>Dvorský Vojtěch (MS Brno)</v>
      </c>
      <c r="D20" s="12"/>
      <c r="E20" s="2" t="str">
        <f>'výs čt. M'!V6</f>
        <v>Solfronk Adam</v>
      </c>
      <c r="G20" s="8"/>
      <c r="H20" s="6" t="str">
        <f>'výs čt. M'!Z19</f>
        <v>3:0 (8,5,3)</v>
      </c>
    </row>
    <row r="21" spans="2:8" ht="12.75">
      <c r="B21" s="101">
        <v>15</v>
      </c>
      <c r="C21" s="2" t="str">
        <f>IF($B21="","",CONCATENATE(VLOOKUP($B21,sez!$A$2:$B$259,2)," (",VLOOKUP($B21,sez!$A$2:$E$259,4),")"))</f>
        <v>Samson Hynek (Agrotec Hustopeče)</v>
      </c>
      <c r="D21" s="13"/>
      <c r="E21" s="5" t="str">
        <f>'výs čt. M'!X6</f>
        <v>Dvorský Vojtěch</v>
      </c>
      <c r="G21" s="8"/>
      <c r="H21" s="8"/>
    </row>
    <row r="22" spans="1:8" ht="12.75">
      <c r="A22" s="2">
        <v>10</v>
      </c>
      <c r="B22" s="5">
        <f>IF(B21="","",VLOOKUP(B21,debl!$B$1:$C$46,2,FALSE))</f>
        <v>32</v>
      </c>
      <c r="C22" s="5" t="str">
        <f>IF($B22="","bye",CONCATENATE(VLOOKUP($B22,sez!$A$2:$B$259,2)," (",VLOOKUP($B22,sez!$A$2:$E$259,4),")"))</f>
        <v>Peťura Patrik (TJ Jiskra Strážnice)</v>
      </c>
      <c r="D22" s="14"/>
      <c r="E22" s="6" t="str">
        <f>'výs čt. M'!Z6</f>
        <v>3:0 (6,4,6)</v>
      </c>
      <c r="F22" s="2" t="str">
        <f>'výs čt. M'!V13</f>
        <v>Solfronk Adam</v>
      </c>
      <c r="G22" s="8"/>
      <c r="H22" s="8"/>
    </row>
    <row r="23" spans="2:8" ht="12.75">
      <c r="B23" s="101">
        <v>11</v>
      </c>
      <c r="C23" s="2" t="str">
        <f>IF($B23="","",CONCATENATE(VLOOKUP($B23,sez!$A$2:$B$259,2)," (",VLOOKUP($B23,sez!$A$2:$E$259,4),")"))</f>
        <v>Barták Lukáš (KST Kunštát)</v>
      </c>
      <c r="D23" s="15"/>
      <c r="E23" s="8"/>
      <c r="F23" s="9" t="str">
        <f>'výs čt. M'!X13</f>
        <v>Dvorský Vojtěch</v>
      </c>
      <c r="G23" s="8"/>
      <c r="H23" s="8"/>
    </row>
    <row r="24" spans="1:8" ht="12.75">
      <c r="A24" s="2">
        <v>11</v>
      </c>
      <c r="B24" s="5">
        <f>IF(B23="","",VLOOKUP(B23,debl!$B$1:$C$46,2,FALSE))</f>
        <v>27</v>
      </c>
      <c r="C24" s="5" t="str">
        <f>IF($B24="","bye",CONCATENATE(VLOOKUP($B24,sez!$A$2:$B$259,2)," (",VLOOKUP($B24,sez!$A$2:$E$259,4),")"))</f>
        <v>Chloupek Tomáš (KST Kunštát)</v>
      </c>
      <c r="D24" s="12"/>
      <c r="E24" s="8" t="str">
        <f>'výs čt. M'!V7</f>
        <v>Barták Lukáš</v>
      </c>
      <c r="F24" s="6" t="str">
        <f>'výs čt. M'!Z13</f>
        <v>3:0 (4,5,5)</v>
      </c>
      <c r="G24" s="8"/>
      <c r="H24" s="8"/>
    </row>
    <row r="25" spans="2:8" ht="12.75">
      <c r="B25" s="101">
        <v>17</v>
      </c>
      <c r="C25" s="2" t="str">
        <f>IF($B25="","",CONCATENATE(VLOOKUP($B25,sez!$A$2:$B$259,2)," (",VLOOKUP($B25,sez!$A$2:$E$259,4),")"))</f>
        <v>Sýkora Marek (STP Mikulov)</v>
      </c>
      <c r="D25" s="13"/>
      <c r="E25" s="7" t="str">
        <f>'výs čt. M'!X7</f>
        <v>Chloupek Tomáš</v>
      </c>
      <c r="F25" s="8"/>
      <c r="G25" s="8"/>
      <c r="H25" s="8"/>
    </row>
    <row r="26" spans="1:8" ht="12.75">
      <c r="A26" s="2">
        <v>12</v>
      </c>
      <c r="B26" s="5">
        <f>IF(B25="","",VLOOKUP(B25,debl!$B$1:$C$46,2,FALSE))</f>
        <v>21</v>
      </c>
      <c r="C26" s="5" t="str">
        <f>IF($B26="","bye",CONCATENATE(VLOOKUP($B26,sez!$A$2:$B$259,2)," (",VLOOKUP($B26,sez!$A$2:$E$259,4),")"))</f>
        <v>Sýkora Tomáš (STP Mikulov)</v>
      </c>
      <c r="D26" s="14"/>
      <c r="E26" s="2" t="str">
        <f>'výs čt. M'!Z7</f>
        <v>3:1 (6,10,-12,6)</v>
      </c>
      <c r="F26" s="8"/>
      <c r="G26" s="8" t="str">
        <f>'výs čt. M'!V17</f>
        <v>Solfronk Adam</v>
      </c>
      <c r="H26" s="8"/>
    </row>
    <row r="27" spans="2:8" ht="12.75">
      <c r="B27" s="101">
        <v>13</v>
      </c>
      <c r="C27" s="2" t="str">
        <f>IF($B27="","",CONCATENATE(VLOOKUP($B27,sez!$A$2:$B$259,2)," (",VLOOKUP($B27,sez!$A$2:$E$259,4),")"))</f>
        <v>Tuč Michal (Sokol Brno I)</v>
      </c>
      <c r="D27" s="15"/>
      <c r="F27" s="8"/>
      <c r="G27" s="10" t="str">
        <f>'výs čt. M'!X17</f>
        <v>Dvorský Vojtěch</v>
      </c>
      <c r="H27" s="8"/>
    </row>
    <row r="28" spans="1:8" ht="12.75">
      <c r="A28" s="2">
        <v>13</v>
      </c>
      <c r="B28" s="5">
        <f>IF(B27="","",VLOOKUP(B27,debl!$B$1:$C$46,2,FALSE))</f>
        <v>18</v>
      </c>
      <c r="C28" s="5" t="str">
        <f>IF($B28="","bye",CONCATENATE(VLOOKUP($B28,sez!$A$2:$B$259,2)," (",VLOOKUP($B28,sez!$A$2:$E$259,4),")"))</f>
        <v>Čermák Jan (Sokol Brno I)</v>
      </c>
      <c r="D28" s="12"/>
      <c r="E28" s="2" t="str">
        <f>'výs čt. M'!V8</f>
        <v>Tuč Michal</v>
      </c>
      <c r="F28" s="8"/>
      <c r="G28" s="2" t="str">
        <f>'výs čt. M'!Z17</f>
        <v>3:0 (7,10,3)</v>
      </c>
      <c r="H28" s="8"/>
    </row>
    <row r="29" spans="2:8" ht="12.75">
      <c r="B29" s="101">
        <v>24</v>
      </c>
      <c r="C29" s="2" t="str">
        <f>IF($B29="","",CONCATENATE(VLOOKUP($B29,sez!$A$2:$B$259,2)," (",VLOOKUP($B29,sez!$A$2:$E$259,4),")"))</f>
        <v>Le Phuoc Vu (Sokol Znojmo-Orel Únanov)</v>
      </c>
      <c r="D29" s="13"/>
      <c r="E29" s="5" t="str">
        <f>'výs čt. M'!X8</f>
        <v>Čermák Jan</v>
      </c>
      <c r="F29" s="8"/>
      <c r="H29" s="8"/>
    </row>
    <row r="30" spans="1:8" ht="12.75">
      <c r="A30" s="2">
        <v>14</v>
      </c>
      <c r="B30" s="5">
        <f>IF(B29="","",VLOOKUP(B29,debl!$B$1:$C$46,2,FALSE))</f>
        <v>29</v>
      </c>
      <c r="C30" s="5" t="str">
        <f>IF($B30="","bye",CONCATENATE(VLOOKUP($B30,sez!$A$2:$B$259,2)," (",VLOOKUP($B30,sez!$A$2:$E$259,4),")"))</f>
        <v>Nevěčný Milan (Sokol Znojmo-Orel Únanov)</v>
      </c>
      <c r="D30" s="14"/>
      <c r="E30" s="6" t="str">
        <f>'výs čt. M'!Z8</f>
        <v>3:0 (1,3,3)</v>
      </c>
      <c r="F30" s="8" t="str">
        <f>'výs čt. M'!V14</f>
        <v>Cupák Jakub</v>
      </c>
      <c r="H30" s="8"/>
    </row>
    <row r="31" spans="2:8" ht="12.75">
      <c r="B31" s="101">
        <v>22</v>
      </c>
      <c r="C31" s="2" t="str">
        <f>IF($B31="","",CONCATENATE(VLOOKUP($B31,sez!$A$2:$B$259,2)," (",VLOOKUP($B31,sez!$A$2:$E$259,4),")"))</f>
        <v>Králík Jakub (MS Brno)</v>
      </c>
      <c r="D31" s="15"/>
      <c r="E31" s="8"/>
      <c r="F31" s="10" t="str">
        <f>'výs čt. M'!X14</f>
        <v>Herman Jan</v>
      </c>
      <c r="H31" s="8"/>
    </row>
    <row r="32" spans="1:8" ht="12.75">
      <c r="A32" s="2">
        <v>15</v>
      </c>
      <c r="B32" s="5">
        <f>IF(B31="","",VLOOKUP(B31,debl!$B$1:$C$46,2,FALSE))</f>
        <v>23</v>
      </c>
      <c r="C32" s="5" t="str">
        <f>IF($B32="","bye",CONCATENATE(VLOOKUP($B32,sez!$A$2:$B$259,2)," (",VLOOKUP($B32,sez!$A$2:$E$259,4),")"))</f>
        <v>Veselý Michael (MS Brno)</v>
      </c>
      <c r="D32" s="12"/>
      <c r="E32" s="8" t="str">
        <f>'výs čt. M'!V9</f>
        <v>Cupák Jakub</v>
      </c>
      <c r="F32" s="2" t="str">
        <f>'výs čt. M'!Z14</f>
        <v>3:0 (13,8,8)</v>
      </c>
      <c r="H32" s="8"/>
    </row>
    <row r="33" spans="2:8" ht="12.75">
      <c r="B33" s="101">
        <v>3</v>
      </c>
      <c r="C33" s="2" t="str">
        <f>IF($B33="","",CONCATENATE(VLOOKUP($B33,sez!$A$2:$B$259,2)," (",VLOOKUP($B33,sez!$A$2:$E$259,4),")"))</f>
        <v>Cupák Jakub (KST FOSFA LVA)</v>
      </c>
      <c r="D33" s="13"/>
      <c r="E33" s="7" t="str">
        <f>'výs čt. M'!X9</f>
        <v>Herman Jan</v>
      </c>
      <c r="H33" s="8"/>
    </row>
    <row r="34" spans="1:8" ht="12.75">
      <c r="A34" s="2">
        <v>16</v>
      </c>
      <c r="B34" s="5">
        <f>IF(B33="","",VLOOKUP(B33,debl!$B$1:$C$46,2,FALSE))</f>
        <v>7</v>
      </c>
      <c r="C34" s="5" t="str">
        <f>IF($B34="","bye",CONCATENATE(VLOOKUP($B34,sez!$A$2:$B$259,2)," (",VLOOKUP($B34,sez!$A$2:$E$259,4),")"))</f>
        <v>Herman Jan (KST FOSFA LVA)</v>
      </c>
      <c r="D34" s="14"/>
      <c r="E34" s="2" t="str">
        <f>'výs čt. M'!Z9</f>
        <v>3:0 (6,8,7)</v>
      </c>
      <c r="H34" s="24"/>
    </row>
    <row r="35" spans="3:8" ht="12.75">
      <c r="C35" s="2">
        <f>IF($B35="","",CONCATENATE(VLOOKUP($B35,sez!$A$2:$B$259,2)," (",VLOOKUP($B35,sez!$A$2:$E$259,4),")"))</f>
      </c>
      <c r="D35" s="15"/>
      <c r="H35" s="24"/>
    </row>
    <row r="36" spans="1:8" ht="12.75">
      <c r="A36" s="82"/>
      <c r="B36" s="82"/>
      <c r="C36" s="82"/>
      <c r="D36" s="88"/>
      <c r="E36" s="82"/>
      <c r="F36" s="82"/>
      <c r="G36" s="82"/>
      <c r="H36" s="82"/>
    </row>
    <row r="37" spans="1:8" ht="12.75">
      <c r="A37" s="82"/>
      <c r="B37" s="82"/>
      <c r="C37" s="82"/>
      <c r="D37" s="88"/>
      <c r="E37" s="82"/>
      <c r="F37" s="82"/>
      <c r="G37" s="82"/>
      <c r="H37" s="82"/>
    </row>
    <row r="38" spans="1:8" ht="12.75">
      <c r="A38" s="82"/>
      <c r="B38" s="82"/>
      <c r="C38" s="82"/>
      <c r="D38" s="88"/>
      <c r="E38" s="82"/>
      <c r="F38" s="82"/>
      <c r="G38" s="82"/>
      <c r="H38" s="82"/>
    </row>
    <row r="39" spans="1:8" ht="12.75">
      <c r="A39" s="82"/>
      <c r="B39" s="82"/>
      <c r="C39" s="82"/>
      <c r="D39" s="88"/>
      <c r="E39" s="82"/>
      <c r="F39" s="82"/>
      <c r="G39" s="82"/>
      <c r="H39" s="82"/>
    </row>
    <row r="40" spans="1:8" ht="12.75">
      <c r="A40" s="82"/>
      <c r="B40" s="82"/>
      <c r="C40" s="82"/>
      <c r="D40" s="88"/>
      <c r="E40" s="82"/>
      <c r="F40" s="82"/>
      <c r="G40" s="82"/>
      <c r="H40" s="82"/>
    </row>
    <row r="41" spans="1:8" ht="12.75">
      <c r="A41" s="82"/>
      <c r="B41" s="82"/>
      <c r="C41" s="82"/>
      <c r="D41" s="88"/>
      <c r="E41" s="82"/>
      <c r="F41" s="82"/>
      <c r="G41" s="82"/>
      <c r="H41" s="82"/>
    </row>
    <row r="42" spans="1:8" ht="12.75">
      <c r="A42" s="82"/>
      <c r="B42" s="82"/>
      <c r="C42" s="82"/>
      <c r="D42" s="88"/>
      <c r="E42" s="82"/>
      <c r="F42" s="82"/>
      <c r="G42" s="82"/>
      <c r="H42" s="82"/>
    </row>
    <row r="43" spans="1:8" ht="12.75">
      <c r="A43" s="82"/>
      <c r="B43" s="82"/>
      <c r="C43" s="82"/>
      <c r="D43" s="88"/>
      <c r="E43" s="82"/>
      <c r="F43" s="82"/>
      <c r="G43" s="82"/>
      <c r="H43" s="82"/>
    </row>
    <row r="44" spans="1:8" ht="12.75">
      <c r="A44" s="82"/>
      <c r="B44" s="82"/>
      <c r="C44" s="82"/>
      <c r="D44" s="88"/>
      <c r="E44" s="82"/>
      <c r="F44" s="82"/>
      <c r="G44" s="82"/>
      <c r="H44" s="82"/>
    </row>
    <row r="45" spans="1:8" ht="12.75">
      <c r="A45" s="82"/>
      <c r="B45" s="82"/>
      <c r="C45" s="82"/>
      <c r="D45" s="88"/>
      <c r="E45" s="82"/>
      <c r="F45" s="82"/>
      <c r="G45" s="82"/>
      <c r="H45" s="82"/>
    </row>
    <row r="46" spans="1:8" ht="12.75">
      <c r="A46" s="82"/>
      <c r="B46" s="82"/>
      <c r="C46" s="82"/>
      <c r="D46" s="88"/>
      <c r="E46" s="82"/>
      <c r="F46" s="82"/>
      <c r="G46" s="82"/>
      <c r="H46" s="82"/>
    </row>
    <row r="47" spans="1:8" ht="12.75">
      <c r="A47" s="82"/>
      <c r="B47" s="82"/>
      <c r="C47" s="82"/>
      <c r="D47" s="88"/>
      <c r="E47" s="82"/>
      <c r="F47" s="82"/>
      <c r="G47" s="82"/>
      <c r="H47" s="82"/>
    </row>
    <row r="48" spans="1:8" ht="12.75">
      <c r="A48" s="82"/>
      <c r="B48" s="82"/>
      <c r="C48" s="82"/>
      <c r="D48" s="88"/>
      <c r="E48" s="82"/>
      <c r="F48" s="82"/>
      <c r="G48" s="82"/>
      <c r="H48" s="82"/>
    </row>
    <row r="49" spans="1:8" ht="12.75">
      <c r="A49" s="82"/>
      <c r="B49" s="82"/>
      <c r="C49" s="82"/>
      <c r="D49" s="88"/>
      <c r="E49" s="82"/>
      <c r="F49" s="82"/>
      <c r="G49" s="82"/>
      <c r="H49" s="82"/>
    </row>
    <row r="50" spans="1:8" ht="12.75">
      <c r="A50" s="82"/>
      <c r="B50" s="82"/>
      <c r="C50" s="82"/>
      <c r="D50" s="88"/>
      <c r="E50" s="82"/>
      <c r="F50" s="82"/>
      <c r="G50" s="82"/>
      <c r="H50" s="89"/>
    </row>
    <row r="51" spans="1:8" ht="12.75">
      <c r="A51" s="82"/>
      <c r="B51" s="82"/>
      <c r="C51" s="82"/>
      <c r="D51" s="88"/>
      <c r="E51" s="82"/>
      <c r="F51" s="82"/>
      <c r="G51" s="82"/>
      <c r="H51" s="89"/>
    </row>
    <row r="52" spans="1:8" ht="12.75">
      <c r="A52" s="82"/>
      <c r="B52" s="82"/>
      <c r="C52" s="82"/>
      <c r="D52" s="88"/>
      <c r="E52" s="82"/>
      <c r="F52" s="82"/>
      <c r="G52" s="82"/>
      <c r="H52" s="82"/>
    </row>
    <row r="53" spans="1:8" ht="12.75">
      <c r="A53" s="82"/>
      <c r="B53" s="82"/>
      <c r="C53" s="82"/>
      <c r="D53" s="88"/>
      <c r="E53" s="82"/>
      <c r="F53" s="82"/>
      <c r="G53" s="82"/>
      <c r="H53" s="82"/>
    </row>
    <row r="54" spans="1:8" ht="12.75">
      <c r="A54" s="82"/>
      <c r="B54" s="82"/>
      <c r="C54" s="82"/>
      <c r="D54" s="88"/>
      <c r="E54" s="82"/>
      <c r="F54" s="82"/>
      <c r="G54" s="82"/>
      <c r="H54" s="82"/>
    </row>
    <row r="55" spans="1:8" ht="12.75">
      <c r="A55" s="82"/>
      <c r="B55" s="82"/>
      <c r="C55" s="82"/>
      <c r="D55" s="88"/>
      <c r="E55" s="82"/>
      <c r="F55" s="82"/>
      <c r="G55" s="82"/>
      <c r="H55" s="82"/>
    </row>
    <row r="56" spans="1:8" ht="12.75">
      <c r="A56" s="82"/>
      <c r="B56" s="82"/>
      <c r="C56" s="82"/>
      <c r="D56" s="88"/>
      <c r="E56" s="82"/>
      <c r="F56" s="82"/>
      <c r="G56" s="82"/>
      <c r="H56" s="82"/>
    </row>
    <row r="57" spans="1:8" ht="12.75">
      <c r="A57" s="82"/>
      <c r="B57" s="82"/>
      <c r="C57" s="82"/>
      <c r="D57" s="88"/>
      <c r="E57" s="82"/>
      <c r="F57" s="82"/>
      <c r="G57" s="82"/>
      <c r="H57" s="82"/>
    </row>
    <row r="58" spans="1:8" ht="12.75">
      <c r="A58" s="82"/>
      <c r="B58" s="82"/>
      <c r="C58" s="82"/>
      <c r="D58" s="88"/>
      <c r="E58" s="82"/>
      <c r="F58" s="82"/>
      <c r="G58" s="82"/>
      <c r="H58" s="82"/>
    </row>
    <row r="59" spans="1:8" ht="12.75">
      <c r="A59" s="82"/>
      <c r="B59" s="82"/>
      <c r="C59" s="82"/>
      <c r="D59" s="88"/>
      <c r="E59" s="82"/>
      <c r="F59" s="82"/>
      <c r="G59" s="82"/>
      <c r="H59" s="82"/>
    </row>
    <row r="60" spans="1:8" ht="12.75">
      <c r="A60" s="82"/>
      <c r="B60" s="82"/>
      <c r="C60" s="82"/>
      <c r="D60" s="88"/>
      <c r="E60" s="82"/>
      <c r="F60" s="82"/>
      <c r="G60" s="82"/>
      <c r="H60" s="82"/>
    </row>
    <row r="61" spans="1:8" ht="12.75">
      <c r="A61" s="82"/>
      <c r="B61" s="82"/>
      <c r="C61" s="82"/>
      <c r="D61" s="88"/>
      <c r="E61" s="82"/>
      <c r="F61" s="82"/>
      <c r="G61" s="82"/>
      <c r="H61" s="82"/>
    </row>
    <row r="62" spans="1:8" ht="12.75">
      <c r="A62" s="82"/>
      <c r="B62" s="82"/>
      <c r="C62" s="82"/>
      <c r="D62" s="88"/>
      <c r="E62" s="82"/>
      <c r="F62" s="82"/>
      <c r="G62" s="82"/>
      <c r="H62" s="82"/>
    </row>
    <row r="63" spans="1:8" ht="12.75">
      <c r="A63" s="82"/>
      <c r="B63" s="82"/>
      <c r="C63" s="82"/>
      <c r="D63" s="88"/>
      <c r="E63" s="82"/>
      <c r="F63" s="82"/>
      <c r="G63" s="82"/>
      <c r="H63" s="82"/>
    </row>
    <row r="64" spans="1:8" ht="12.75">
      <c r="A64" s="82"/>
      <c r="B64" s="82"/>
      <c r="C64" s="82"/>
      <c r="D64" s="88"/>
      <c r="E64" s="82"/>
      <c r="F64" s="82"/>
      <c r="G64" s="82"/>
      <c r="H64" s="82"/>
    </row>
    <row r="65" spans="1:8" ht="12.75">
      <c r="A65" s="82"/>
      <c r="B65" s="82"/>
      <c r="C65" s="82"/>
      <c r="D65" s="88"/>
      <c r="E65" s="82"/>
      <c r="F65" s="82"/>
      <c r="G65" s="82"/>
      <c r="H65" s="82"/>
    </row>
    <row r="66" spans="1:8" ht="12.75">
      <c r="A66" s="82"/>
      <c r="B66" s="82"/>
      <c r="C66" s="82"/>
      <c r="D66" s="88"/>
      <c r="E66" s="82"/>
      <c r="F66" s="82"/>
      <c r="G66" s="82"/>
      <c r="H66" s="82"/>
    </row>
    <row r="67" spans="1:8" ht="12.75">
      <c r="A67" s="82"/>
      <c r="B67" s="82"/>
      <c r="C67" s="82"/>
      <c r="D67" s="88"/>
      <c r="E67" s="82"/>
      <c r="F67" s="82"/>
      <c r="G67" s="82"/>
      <c r="H67" s="82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1"/>
  <rowBreaks count="1" manualBreakCount="1">
    <brk id="6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pane ySplit="1" topLeftCell="A2" activePane="bottomLeft" state="frozen"/>
      <selection pane="topLeft" activeCell="H19" sqref="H19"/>
      <selection pane="bottomLeft" activeCell="Q19" sqref="Q19"/>
    </sheetView>
  </sheetViews>
  <sheetFormatPr defaultColWidth="9.00390625" defaultRowHeight="12.75"/>
  <cols>
    <col min="1" max="1" width="20.875" style="2" customWidth="1"/>
    <col min="2" max="2" width="4.625" style="2" bestFit="1" customWidth="1"/>
    <col min="3" max="3" width="16.00390625" style="2" bestFit="1" customWidth="1"/>
    <col min="4" max="4" width="7.00390625" style="2" bestFit="1" customWidth="1"/>
    <col min="5" max="5" width="4.625" style="2" bestFit="1" customWidth="1"/>
    <col min="6" max="6" width="16.00390625" style="2" bestFit="1" customWidth="1"/>
    <col min="7" max="7" width="7.00390625" style="2" bestFit="1" customWidth="1"/>
    <col min="8" max="8" width="4.875" style="2" bestFit="1" customWidth="1"/>
    <col min="9" max="9" width="16.00390625" style="2" bestFit="1" customWidth="1"/>
    <col min="10" max="10" width="7.00390625" style="2" bestFit="1" customWidth="1"/>
    <col min="11" max="11" width="4.875" style="2" bestFit="1" customWidth="1"/>
    <col min="12" max="12" width="14.375" style="2" bestFit="1" customWidth="1"/>
    <col min="13" max="13" width="7.00390625" style="2" bestFit="1" customWidth="1"/>
    <col min="14" max="15" width="3.875" style="2" customWidth="1"/>
    <col min="16" max="20" width="4.25390625" style="2" customWidth="1"/>
    <col min="21" max="21" width="4.625" style="2" bestFit="1" customWidth="1"/>
    <col min="22" max="22" width="12.00390625" style="2" customWidth="1"/>
    <col min="23" max="23" width="4.125" style="2" customWidth="1"/>
    <col min="24" max="24" width="11.00390625" style="2" customWidth="1"/>
    <col min="25" max="25" width="3.125" style="2" customWidth="1"/>
    <col min="26" max="26" width="21.75390625" style="2" bestFit="1" customWidth="1"/>
    <col min="27" max="27" width="2.75390625" style="2" customWidth="1"/>
    <col min="28" max="32" width="4.125" style="2" customWidth="1"/>
    <col min="33" max="16384" width="9.125" style="2" customWidth="1"/>
  </cols>
  <sheetData>
    <row r="1" spans="2:21" ht="13.5" thickBot="1">
      <c r="B1" s="1" t="s">
        <v>0</v>
      </c>
      <c r="C1" s="102" t="s">
        <v>1</v>
      </c>
      <c r="D1" s="102" t="s">
        <v>2</v>
      </c>
      <c r="E1" s="102" t="s">
        <v>0</v>
      </c>
      <c r="F1" s="102" t="s">
        <v>3</v>
      </c>
      <c r="G1" s="102" t="s">
        <v>2</v>
      </c>
      <c r="H1" s="102" t="s">
        <v>0</v>
      </c>
      <c r="I1" s="102" t="s">
        <v>14</v>
      </c>
      <c r="J1" s="102" t="s">
        <v>2</v>
      </c>
      <c r="K1" s="102" t="s">
        <v>0</v>
      </c>
      <c r="L1" s="102" t="s">
        <v>15</v>
      </c>
      <c r="M1" s="1" t="s">
        <v>2</v>
      </c>
      <c r="N1" s="23" t="s">
        <v>4</v>
      </c>
      <c r="O1" s="23" t="s">
        <v>5</v>
      </c>
      <c r="P1" s="23" t="s">
        <v>6</v>
      </c>
      <c r="Q1" s="23" t="s">
        <v>7</v>
      </c>
      <c r="R1" s="23" t="s">
        <v>8</v>
      </c>
      <c r="S1" s="1" t="s">
        <v>9</v>
      </c>
      <c r="T1" s="1" t="s">
        <v>10</v>
      </c>
      <c r="U1" s="1" t="s">
        <v>11</v>
      </c>
    </row>
    <row r="2" spans="1:32" ht="13.5" thickTop="1">
      <c r="A2" s="131" t="str">
        <f>CONCATENATE("Čtyřhra ",úvod!$C$8,"M - 1.kolo")</f>
        <v>Čtyřhra U13M - 1.kolo</v>
      </c>
      <c r="B2" s="131">
        <f>'čt. M'!$B$3</f>
        <v>1</v>
      </c>
      <c r="C2" s="131" t="str">
        <f>IF($B2=0,"bye",VLOOKUP($B2,sez!$A$2:$D$259,2))</f>
        <v>Flajšar Pavel</v>
      </c>
      <c r="D2" s="131" t="str">
        <f>IF($B2=0,"",VLOOKUP($B2,sez!$A$2:$D$259,4))</f>
        <v>SKST N. Lískovec</v>
      </c>
      <c r="E2" s="131">
        <f>'čt. M'!$B$4</f>
        <v>2</v>
      </c>
      <c r="F2" s="131" t="str">
        <f>IF($E2="","bye",VLOOKUP($E2,sez!$A$2:$D$259,2))</f>
        <v>Vokřínek Tomáš</v>
      </c>
      <c r="G2" s="131" t="str">
        <f>IF($E2="","",VLOOKUP($E2,sez!$A$2:$D$259,4))</f>
        <v>MS Brno</v>
      </c>
      <c r="H2" s="131">
        <f>'čt. M'!$B$5</f>
        <v>20</v>
      </c>
      <c r="I2" s="131" t="str">
        <f>IF($H2=0,"bye",VLOOKUP($H2,sez!$A$2:$D$259,2))</f>
        <v>Sedláček Matěj</v>
      </c>
      <c r="J2" s="131" t="str">
        <f>IF($H2=0,"",VLOOKUP($H2,sez!$A$2:$D$259,4))</f>
        <v>Agrotec Hustopeče</v>
      </c>
      <c r="K2" s="131">
        <f>'čt. M'!$B$6</f>
        <v>31</v>
      </c>
      <c r="L2" s="131" t="str">
        <f>IF($K2="","bye",VLOOKUP($K2,sez!$A$2:$D$259,2))</f>
        <v>Topinka Vojtěch</v>
      </c>
      <c r="M2" s="131" t="str">
        <f>IF($K2="","",VLOOKUP($K2,sez!$A$2:$D$259,4))</f>
        <v>Agrotec Hustopeče</v>
      </c>
      <c r="N2" s="63" t="s">
        <v>122</v>
      </c>
      <c r="O2" s="64" t="s">
        <v>129</v>
      </c>
      <c r="P2" s="64" t="s">
        <v>134</v>
      </c>
      <c r="Q2" s="64"/>
      <c r="R2" s="65"/>
      <c r="S2" s="2">
        <f aca="true" t="shared" si="0" ref="S2:S9">COUNTIF(AB2:AF2,"&gt;0")</f>
        <v>3</v>
      </c>
      <c r="T2" s="2">
        <f aca="true" t="shared" si="1" ref="T2:T9">COUNTIF(AB2:AF2,"&lt;0")</f>
        <v>0</v>
      </c>
      <c r="U2" s="2">
        <f aca="true" t="shared" si="2" ref="U2:U9">IF(S2=T2,0,IF(S2&gt;T2,B2,H2))</f>
        <v>1</v>
      </c>
      <c r="V2" s="2" t="str">
        <f>IF($U2=0,"",VLOOKUP($U2,sez!$A$2:$D$259,2))</f>
        <v>Flajšar Pavel</v>
      </c>
      <c r="W2" s="2">
        <f aca="true" t="shared" si="3" ref="W2:W9">IF(S2=T2,0,IF(S2&gt;T2,E2,K2))</f>
        <v>2</v>
      </c>
      <c r="X2" s="2" t="str">
        <f>IF($W2=0,"",VLOOKUP($W2,sez!$A$2:$D$259,2))</f>
        <v>Vokřínek Tomáš</v>
      </c>
      <c r="Y2" s="2" t="str">
        <f aca="true" t="shared" si="4" ref="Y2:Y9"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>3:0 (10,4,7)</v>
      </c>
      <c r="Z2" s="2" t="str">
        <f aca="true" t="shared" si="5" ref="Z2:Z9">IF(MAX(S2:T2)=3,Y2,"")</f>
        <v>3:0 (10,4,7)</v>
      </c>
      <c r="AB2" s="25">
        <f aca="true" t="shared" si="6" ref="AB2:AB9">IF(N2="",0,IF(MID(N2,1,1)="-",-1,1))</f>
        <v>1</v>
      </c>
      <c r="AC2" s="25">
        <f aca="true" t="shared" si="7" ref="AC2:AC9">IF(O2="",0,IF(MID(O2,1,1)="-",-1,1))</f>
        <v>1</v>
      </c>
      <c r="AD2" s="25">
        <f aca="true" t="shared" si="8" ref="AD2:AD9">IF(P2="",0,IF(MID(P2,1,1)="-",-1,1))</f>
        <v>1</v>
      </c>
      <c r="AE2" s="25">
        <f aca="true" t="shared" si="9" ref="AE2:AE9">IF(Q2="",0,IF(MID(Q2,1,1)="-",-1,1))</f>
        <v>0</v>
      </c>
      <c r="AF2" s="25">
        <f aca="true" t="shared" si="10" ref="AF2:AF9">IF(R2="",0,IF(MID(R2,1,1)="-",-1,1))</f>
        <v>0</v>
      </c>
    </row>
    <row r="3" spans="1:32" ht="12.75">
      <c r="A3" s="131" t="str">
        <f>CONCATENATE("Čtyřhra ",úvod!$C$8,"M - 1.kolo")</f>
        <v>Čtyřhra U13M - 1.kolo</v>
      </c>
      <c r="B3" s="131">
        <f>'čt. M'!$B$7</f>
        <v>19</v>
      </c>
      <c r="C3" s="131" t="str">
        <f>IF($B3=0,"bye",VLOOKUP($B3,sez!$A$2:$D$259,2))</f>
        <v>Telecký Radovan</v>
      </c>
      <c r="D3" s="131" t="str">
        <f>IF($B3=0,"",VLOOKUP($B3,sez!$A$2:$D$259,4))</f>
        <v>Orel Šlapanice</v>
      </c>
      <c r="E3" s="131">
        <f>'čt. M'!$B$8</f>
        <v>30</v>
      </c>
      <c r="F3" s="131" t="str">
        <f>IF($E3="","bye",VLOOKUP($E3,sez!$A$2:$D$259,2))</f>
        <v>Kouřil Antonín</v>
      </c>
      <c r="G3" s="131" t="str">
        <f>IF($E3="","",VLOOKUP($E3,sez!$A$2:$D$259,4))</f>
        <v>MK Řeznovice</v>
      </c>
      <c r="H3" s="131">
        <f>'čt. M'!$B$9</f>
        <v>9</v>
      </c>
      <c r="I3" s="131" t="str">
        <f>IF($H3=0,"bye",VLOOKUP($H3,sez!$A$2:$D$259,2))</f>
        <v>Macánek Martin</v>
      </c>
      <c r="J3" s="131" t="str">
        <f>IF($H3=0,"",VLOOKUP($H3,sez!$A$2:$D$259,4))</f>
        <v>SKST Hodonín</v>
      </c>
      <c r="K3" s="131">
        <f>'čt. M'!$B$10</f>
        <v>26</v>
      </c>
      <c r="L3" s="131" t="str">
        <f>IF($K3="","bye",VLOOKUP($K3,sez!$A$2:$D$259,2))</f>
        <v>Kmenta Josef</v>
      </c>
      <c r="M3" s="131" t="str">
        <f>IF($K3="","",VLOOKUP($K3,sez!$A$2:$D$259,4))</f>
        <v>SKST Hodonín</v>
      </c>
      <c r="N3" s="66" t="s">
        <v>121</v>
      </c>
      <c r="O3" s="67" t="s">
        <v>139</v>
      </c>
      <c r="P3" s="67" t="s">
        <v>135</v>
      </c>
      <c r="Q3" s="67" t="s">
        <v>124</v>
      </c>
      <c r="R3" s="68"/>
      <c r="S3" s="2">
        <f t="shared" si="0"/>
        <v>1</v>
      </c>
      <c r="T3" s="2">
        <f t="shared" si="1"/>
        <v>3</v>
      </c>
      <c r="U3" s="2">
        <f t="shared" si="2"/>
        <v>9</v>
      </c>
      <c r="V3" s="2" t="str">
        <f>IF($U3=0,"",VLOOKUP($U3,sez!$A$2:$D$259,2))</f>
        <v>Macánek Martin</v>
      </c>
      <c r="W3" s="2">
        <f t="shared" si="3"/>
        <v>26</v>
      </c>
      <c r="X3" s="2" t="str">
        <f>IF($W3=0,"",VLOOKUP($W3,sez!$A$2:$D$259,2))</f>
        <v>Kmenta Josef</v>
      </c>
      <c r="Y3" s="2" t="str">
        <f t="shared" si="4"/>
        <v>3:1 (-9,10,5,7)</v>
      </c>
      <c r="Z3" s="2" t="str">
        <f t="shared" si="5"/>
        <v>3:1 (-9,10,5,7)</v>
      </c>
      <c r="AB3" s="25">
        <f t="shared" si="6"/>
        <v>1</v>
      </c>
      <c r="AC3" s="25">
        <f t="shared" si="7"/>
        <v>-1</v>
      </c>
      <c r="AD3" s="25">
        <f t="shared" si="8"/>
        <v>-1</v>
      </c>
      <c r="AE3" s="25">
        <f t="shared" si="9"/>
        <v>-1</v>
      </c>
      <c r="AF3" s="25">
        <f t="shared" si="10"/>
        <v>0</v>
      </c>
    </row>
    <row r="4" spans="1:32" ht="12.75">
      <c r="A4" s="131" t="str">
        <f>CONCATENATE("Čtyřhra ",úvod!$C$8,"M - 1.kolo")</f>
        <v>Čtyřhra U13M - 1.kolo</v>
      </c>
      <c r="B4" s="131">
        <f>'čt. M'!$B$11</f>
        <v>6</v>
      </c>
      <c r="C4" s="131" t="str">
        <f>IF($B4=0,"bye",VLOOKUP($B4,sez!$A$2:$D$259,2))</f>
        <v>Koudelka David</v>
      </c>
      <c r="D4" s="131" t="str">
        <f>IF($B4=0,"",VLOOKUP($B4,sez!$A$2:$D$259,4))</f>
        <v>MS Brno</v>
      </c>
      <c r="E4" s="131">
        <f>'čt. M'!$B$12</f>
        <v>16</v>
      </c>
      <c r="F4" s="131" t="str">
        <f>IF($E4="","bye",VLOOKUP($E4,sez!$A$2:$D$259,2))</f>
        <v>Čelko Ondřej</v>
      </c>
      <c r="G4" s="131" t="str">
        <f>IF($E4="","",VLOOKUP($E4,sez!$A$2:$D$259,4))</f>
        <v>Sokol Líšeň</v>
      </c>
      <c r="H4" s="131">
        <f>'čt. M'!$B$13</f>
        <v>10</v>
      </c>
      <c r="I4" s="131" t="str">
        <f>IF($H4=0,"bye",VLOOKUP($H4,sez!$A$2:$D$259,2))</f>
        <v>Křepela David</v>
      </c>
      <c r="J4" s="131" t="str">
        <f>IF($H4=0,"",VLOOKUP($H4,sez!$A$2:$D$259,4))</f>
        <v>STK Zbraslavec</v>
      </c>
      <c r="K4" s="131">
        <f>'čt. M'!$B$14</f>
        <v>28</v>
      </c>
      <c r="L4" s="131" t="str">
        <f>IF($K4="","bye",VLOOKUP($K4,sez!$A$2:$D$259,2))</f>
        <v>Veselý Eliáš</v>
      </c>
      <c r="M4" s="131" t="str">
        <f>IF($K4="","",VLOOKUP($K4,sez!$A$2:$D$259,4))</f>
        <v>KST Vyškov</v>
      </c>
      <c r="N4" s="66" t="s">
        <v>128</v>
      </c>
      <c r="O4" s="67" t="s">
        <v>123</v>
      </c>
      <c r="P4" s="67" t="s">
        <v>120</v>
      </c>
      <c r="Q4" s="67" t="s">
        <v>123</v>
      </c>
      <c r="R4" s="68"/>
      <c r="S4" s="2">
        <f t="shared" si="0"/>
        <v>3</v>
      </c>
      <c r="T4" s="2">
        <f t="shared" si="1"/>
        <v>1</v>
      </c>
      <c r="U4" s="2">
        <f t="shared" si="2"/>
        <v>6</v>
      </c>
      <c r="V4" s="2" t="str">
        <f>IF($U4=0,"",VLOOKUP($U4,sez!$A$2:$D$259,2))</f>
        <v>Koudelka David</v>
      </c>
      <c r="W4" s="2">
        <f t="shared" si="3"/>
        <v>16</v>
      </c>
      <c r="X4" s="2" t="str">
        <f>IF($W4=0,"",VLOOKUP($W4,sez!$A$2:$D$259,2))</f>
        <v>Čelko Ondřej</v>
      </c>
      <c r="Y4" s="2" t="str">
        <f t="shared" si="4"/>
        <v>3:1 (2,5,-9,5)</v>
      </c>
      <c r="Z4" s="2" t="str">
        <f t="shared" si="5"/>
        <v>3:1 (2,5,-9,5)</v>
      </c>
      <c r="AB4" s="25">
        <f t="shared" si="6"/>
        <v>1</v>
      </c>
      <c r="AC4" s="25">
        <f t="shared" si="7"/>
        <v>1</v>
      </c>
      <c r="AD4" s="25">
        <f t="shared" si="8"/>
        <v>-1</v>
      </c>
      <c r="AE4" s="25">
        <f t="shared" si="9"/>
        <v>1</v>
      </c>
      <c r="AF4" s="25">
        <f t="shared" si="10"/>
        <v>0</v>
      </c>
    </row>
    <row r="5" spans="1:32" ht="12.75">
      <c r="A5" s="131" t="str">
        <f>CONCATENATE("Čtyřhra ",úvod!$C$8,"M - 1.kolo")</f>
        <v>Čtyřhra U13M - 1.kolo</v>
      </c>
      <c r="B5" s="131">
        <f>'čt. M'!$B$15</f>
        <v>14</v>
      </c>
      <c r="C5" s="131" t="str">
        <f>IF($B5=0,"bye",VLOOKUP($B5,sez!$A$2:$D$259,2))</f>
        <v>Strnad Mikuláš</v>
      </c>
      <c r="D5" s="131" t="str">
        <f>IF($B5=0,"",VLOOKUP($B5,sez!$A$2:$D$259,4))</f>
        <v>Sokol Brno I</v>
      </c>
      <c r="E5" s="131">
        <f>'čt. M'!$B$16</f>
        <v>25</v>
      </c>
      <c r="F5" s="131" t="str">
        <f>IF($E5="","bye",VLOOKUP($E5,sez!$A$2:$D$259,2))</f>
        <v>Vlk Oliver</v>
      </c>
      <c r="G5" s="131" t="str">
        <f>IF($E5="","",VLOOKUP($E5,sez!$A$2:$D$259,4))</f>
        <v>Sokol Brno I</v>
      </c>
      <c r="H5" s="131">
        <f>'čt. M'!$B$17</f>
        <v>4</v>
      </c>
      <c r="I5" s="131" t="str">
        <f>IF($H5=0,"bye",VLOOKUP($H5,sez!$A$2:$D$259,2))</f>
        <v>Štěpánek Adam</v>
      </c>
      <c r="J5" s="131" t="str">
        <f>IF($H5=0,"",VLOOKUP($H5,sez!$A$2:$D$259,4))</f>
        <v>STP Mikulov</v>
      </c>
      <c r="K5" s="131">
        <f>'čt. M'!$B$18</f>
        <v>12</v>
      </c>
      <c r="L5" s="131" t="str">
        <f>IF($K5="","bye",VLOOKUP($K5,sez!$A$2:$D$259,2))</f>
        <v>Jež Vítek</v>
      </c>
      <c r="M5" s="131" t="str">
        <f>IF($K5="","",VLOOKUP($K5,sez!$A$2:$D$259,4))</f>
        <v>STP Mikulov</v>
      </c>
      <c r="N5" s="66" t="s">
        <v>143</v>
      </c>
      <c r="O5" s="67" t="s">
        <v>143</v>
      </c>
      <c r="P5" s="67" t="s">
        <v>143</v>
      </c>
      <c r="Q5" s="67"/>
      <c r="R5" s="68"/>
      <c r="S5" s="2">
        <f t="shared" si="0"/>
        <v>0</v>
      </c>
      <c r="T5" s="2">
        <f t="shared" si="1"/>
        <v>3</v>
      </c>
      <c r="U5" s="2">
        <f t="shared" si="2"/>
        <v>4</v>
      </c>
      <c r="V5" s="2" t="str">
        <f>IF($U5=0,"",VLOOKUP($U5,sez!$A$2:$D$259,2))</f>
        <v>Štěpánek Adam</v>
      </c>
      <c r="W5" s="2">
        <f t="shared" si="3"/>
        <v>12</v>
      </c>
      <c r="X5" s="2" t="str">
        <f>IF($W5=0,"",VLOOKUP($W5,sez!$A$2:$D$259,2))</f>
        <v>Jež Vítek</v>
      </c>
      <c r="Y5" s="2" t="str">
        <f t="shared" si="4"/>
        <v>3:0 (0,0,0)</v>
      </c>
      <c r="Z5" s="2" t="str">
        <f t="shared" si="5"/>
        <v>3:0 (0,0,0)</v>
      </c>
      <c r="AB5" s="25">
        <f t="shared" si="6"/>
        <v>-1</v>
      </c>
      <c r="AC5" s="25">
        <f t="shared" si="7"/>
        <v>-1</v>
      </c>
      <c r="AD5" s="25">
        <f t="shared" si="8"/>
        <v>-1</v>
      </c>
      <c r="AE5" s="25">
        <f t="shared" si="9"/>
        <v>0</v>
      </c>
      <c r="AF5" s="25">
        <f t="shared" si="10"/>
        <v>0</v>
      </c>
    </row>
    <row r="6" spans="1:32" ht="12.75">
      <c r="A6" s="131" t="str">
        <f>CONCATENATE("Čtyřhra ",úvod!$C$8,"M - 1.kolo")</f>
        <v>Čtyřhra U13M - 1.kolo</v>
      </c>
      <c r="B6" s="131">
        <f>'čt. M'!$B$19</f>
        <v>5</v>
      </c>
      <c r="C6" s="131" t="str">
        <f>IF($B6=0,"bye",VLOOKUP($B6,sez!$A$2:$D$259,2))</f>
        <v>Solfronk Adam</v>
      </c>
      <c r="D6" s="131" t="str">
        <f>IF($B6=0,"",VLOOKUP($B6,sez!$A$2:$D$259,4))</f>
        <v>MS Brno</v>
      </c>
      <c r="E6" s="131">
        <f>'čt. M'!$B$20</f>
        <v>8</v>
      </c>
      <c r="F6" s="131" t="str">
        <f>IF($E6="","bye",VLOOKUP($E6,sez!$A$2:$D$259,2))</f>
        <v>Dvorský Vojtěch</v>
      </c>
      <c r="G6" s="131" t="str">
        <f>IF($E6="","",VLOOKUP($E6,sez!$A$2:$D$259,4))</f>
        <v>MS Brno</v>
      </c>
      <c r="H6" s="131">
        <f>'čt. M'!$B$21</f>
        <v>15</v>
      </c>
      <c r="I6" s="131" t="str">
        <f>IF($H6=0,"bye",VLOOKUP($H6,sez!$A$2:$D$259,2))</f>
        <v>Samson Hynek</v>
      </c>
      <c r="J6" s="131" t="str">
        <f>IF($H6=0,"",VLOOKUP($H6,sez!$A$2:$D$259,4))</f>
        <v>Agrotec Hustopeče</v>
      </c>
      <c r="K6" s="131">
        <f>'čt. M'!$B$22</f>
        <v>32</v>
      </c>
      <c r="L6" s="131" t="str">
        <f>IF($K6="","bye",VLOOKUP($K6,sez!$A$2:$D$259,2))</f>
        <v>Peťura Patrik</v>
      </c>
      <c r="M6" s="131" t="str">
        <f>IF($K6="","",VLOOKUP($K6,sez!$A$2:$D$259,4))</f>
        <v>TJ Jiskra Strážnice</v>
      </c>
      <c r="N6" s="66" t="s">
        <v>131</v>
      </c>
      <c r="O6" s="67" t="s">
        <v>129</v>
      </c>
      <c r="P6" s="67" t="s">
        <v>131</v>
      </c>
      <c r="Q6" s="67"/>
      <c r="R6" s="68"/>
      <c r="S6" s="2">
        <f t="shared" si="0"/>
        <v>3</v>
      </c>
      <c r="T6" s="2">
        <f t="shared" si="1"/>
        <v>0</v>
      </c>
      <c r="U6" s="2">
        <f t="shared" si="2"/>
        <v>5</v>
      </c>
      <c r="V6" s="2" t="str">
        <f>IF($U6=0,"",VLOOKUP($U6,sez!$A$2:$D$259,2))</f>
        <v>Solfronk Adam</v>
      </c>
      <c r="W6" s="2">
        <f t="shared" si="3"/>
        <v>8</v>
      </c>
      <c r="X6" s="2" t="str">
        <f>IF($W6=0,"",VLOOKUP($W6,sez!$A$2:$D$259,2))</f>
        <v>Dvorský Vojtěch</v>
      </c>
      <c r="Y6" s="2" t="str">
        <f t="shared" si="4"/>
        <v>3:0 (6,4,6)</v>
      </c>
      <c r="Z6" s="2" t="str">
        <f t="shared" si="5"/>
        <v>3:0 (6,4,6)</v>
      </c>
      <c r="AB6" s="25">
        <f t="shared" si="6"/>
        <v>1</v>
      </c>
      <c r="AC6" s="25">
        <f t="shared" si="7"/>
        <v>1</v>
      </c>
      <c r="AD6" s="25">
        <f t="shared" si="8"/>
        <v>1</v>
      </c>
      <c r="AE6" s="25">
        <f t="shared" si="9"/>
        <v>0</v>
      </c>
      <c r="AF6" s="25">
        <f t="shared" si="10"/>
        <v>0</v>
      </c>
    </row>
    <row r="7" spans="1:32" ht="12.75">
      <c r="A7" s="131" t="str">
        <f>CONCATENATE("Čtyřhra ",úvod!$C$8,"M - 1.kolo")</f>
        <v>Čtyřhra U13M - 1.kolo</v>
      </c>
      <c r="B7" s="131">
        <f>'čt. M'!$B$23</f>
        <v>11</v>
      </c>
      <c r="C7" s="131" t="str">
        <f>IF($B7=0,"bye",VLOOKUP($B7,sez!$A$2:$D$259,2))</f>
        <v>Barták Lukáš</v>
      </c>
      <c r="D7" s="131" t="str">
        <f>IF($B7=0,"",VLOOKUP($B7,sez!$A$2:$D$259,4))</f>
        <v>KST Kunštát</v>
      </c>
      <c r="E7" s="131">
        <f>'čt. M'!$B$24</f>
        <v>27</v>
      </c>
      <c r="F7" s="131" t="str">
        <f>IF($E7="","bye",VLOOKUP($E7,sez!$A$2:$D$259,2))</f>
        <v>Chloupek Tomáš</v>
      </c>
      <c r="G7" s="131" t="str">
        <f>IF($E7="","",VLOOKUP($E7,sez!$A$2:$D$259,4))</f>
        <v>KST Kunštát</v>
      </c>
      <c r="H7" s="131">
        <f>'čt. M'!$B$25</f>
        <v>17</v>
      </c>
      <c r="I7" s="131" t="str">
        <f>IF($H7=0,"bye",VLOOKUP($H7,sez!$A$2:$D$259,2))</f>
        <v>Sýkora Marek</v>
      </c>
      <c r="J7" s="131" t="str">
        <f>IF($H7=0,"",VLOOKUP($H7,sez!$A$2:$D$259,4))</f>
        <v>STP Mikulov</v>
      </c>
      <c r="K7" s="131">
        <f>'čt. M'!$B$26</f>
        <v>21</v>
      </c>
      <c r="L7" s="131" t="str">
        <f>IF($K7="","bye",VLOOKUP($K7,sez!$A$2:$D$259,2))</f>
        <v>Sýkora Tomáš</v>
      </c>
      <c r="M7" s="131" t="str">
        <f>IF($K7="","",VLOOKUP($K7,sez!$A$2:$D$259,4))</f>
        <v>STP Mikulov</v>
      </c>
      <c r="N7" s="66" t="s">
        <v>131</v>
      </c>
      <c r="O7" s="67" t="s">
        <v>122</v>
      </c>
      <c r="P7" s="67" t="s">
        <v>127</v>
      </c>
      <c r="Q7" s="67" t="s">
        <v>131</v>
      </c>
      <c r="R7" s="68"/>
      <c r="S7" s="2">
        <f t="shared" si="0"/>
        <v>3</v>
      </c>
      <c r="T7" s="2">
        <f t="shared" si="1"/>
        <v>1</v>
      </c>
      <c r="U7" s="2">
        <f t="shared" si="2"/>
        <v>11</v>
      </c>
      <c r="V7" s="2" t="str">
        <f>IF($U7=0,"",VLOOKUP($U7,sez!$A$2:$D$259,2))</f>
        <v>Barták Lukáš</v>
      </c>
      <c r="W7" s="2">
        <f t="shared" si="3"/>
        <v>27</v>
      </c>
      <c r="X7" s="2" t="str">
        <f>IF($W7=0,"",VLOOKUP($W7,sez!$A$2:$D$259,2))</f>
        <v>Chloupek Tomáš</v>
      </c>
      <c r="Y7" s="2" t="str">
        <f t="shared" si="4"/>
        <v>3:1 (6,10,-12,6)</v>
      </c>
      <c r="Z7" s="2" t="str">
        <f t="shared" si="5"/>
        <v>3:1 (6,10,-12,6)</v>
      </c>
      <c r="AB7" s="25">
        <f t="shared" si="6"/>
        <v>1</v>
      </c>
      <c r="AC7" s="25">
        <f t="shared" si="7"/>
        <v>1</v>
      </c>
      <c r="AD7" s="25">
        <f t="shared" si="8"/>
        <v>-1</v>
      </c>
      <c r="AE7" s="25">
        <f t="shared" si="9"/>
        <v>1</v>
      </c>
      <c r="AF7" s="25">
        <f t="shared" si="10"/>
        <v>0</v>
      </c>
    </row>
    <row r="8" spans="1:32" ht="12.75">
      <c r="A8" s="131" t="str">
        <f>CONCATENATE("Čtyřhra ",úvod!$C$8,"M - 1.kolo")</f>
        <v>Čtyřhra U13M - 1.kolo</v>
      </c>
      <c r="B8" s="131">
        <f>'čt. M'!$B$27</f>
        <v>13</v>
      </c>
      <c r="C8" s="131" t="str">
        <f>IF($B8=0,"bye",VLOOKUP($B8,sez!$A$2:$D$259,2))</f>
        <v>Tuč Michal</v>
      </c>
      <c r="D8" s="131" t="str">
        <f>IF($B8=0,"",VLOOKUP($B8,sez!$A$2:$D$259,4))</f>
        <v>Sokol Brno I</v>
      </c>
      <c r="E8" s="131">
        <f>'čt. M'!$B$28</f>
        <v>18</v>
      </c>
      <c r="F8" s="131" t="str">
        <f>IF($E8="","bye",VLOOKUP($E8,sez!$A$2:$D$259,2))</f>
        <v>Čermák Jan</v>
      </c>
      <c r="G8" s="131" t="str">
        <f>IF($E8="","",VLOOKUP($E8,sez!$A$2:$D$259,4))</f>
        <v>Sokol Brno I</v>
      </c>
      <c r="H8" s="131">
        <f>'čt. M'!$B$29</f>
        <v>24</v>
      </c>
      <c r="I8" s="131" t="str">
        <f>IF($H8=0,"bye",VLOOKUP($H8,sez!$A$2:$D$259,2))</f>
        <v>Le Phuoc Vu</v>
      </c>
      <c r="J8" s="131" t="str">
        <f>IF($H8=0,"",VLOOKUP($H8,sez!$A$2:$D$259,4))</f>
        <v>Sokol Znojmo-Orel Únanov</v>
      </c>
      <c r="K8" s="131">
        <f>'čt. M'!$B$30</f>
        <v>29</v>
      </c>
      <c r="L8" s="131" t="str">
        <f>IF($K8="","bye",VLOOKUP($K8,sez!$A$2:$D$259,2))</f>
        <v>Nevěčný Milan</v>
      </c>
      <c r="M8" s="131" t="str">
        <f>IF($K8="","",VLOOKUP($K8,sez!$A$2:$D$259,4))</f>
        <v>Sokol Znojmo-Orel Únanov</v>
      </c>
      <c r="N8" s="66" t="s">
        <v>136</v>
      </c>
      <c r="O8" s="67" t="s">
        <v>132</v>
      </c>
      <c r="P8" s="67" t="s">
        <v>132</v>
      </c>
      <c r="Q8" s="67"/>
      <c r="R8" s="68"/>
      <c r="S8" s="2">
        <f t="shared" si="0"/>
        <v>3</v>
      </c>
      <c r="T8" s="2">
        <f t="shared" si="1"/>
        <v>0</v>
      </c>
      <c r="U8" s="2">
        <f t="shared" si="2"/>
        <v>13</v>
      </c>
      <c r="V8" s="2" t="str">
        <f>IF($U8=0,"",VLOOKUP($U8,sez!$A$2:$D$259,2))</f>
        <v>Tuč Michal</v>
      </c>
      <c r="W8" s="2">
        <f t="shared" si="3"/>
        <v>18</v>
      </c>
      <c r="X8" s="2" t="str">
        <f>IF($W8=0,"",VLOOKUP($W8,sez!$A$2:$D$259,2))</f>
        <v>Čermák Jan</v>
      </c>
      <c r="Y8" s="2" t="str">
        <f t="shared" si="4"/>
        <v>3:0 (1,3,3)</v>
      </c>
      <c r="Z8" s="2" t="str">
        <f t="shared" si="5"/>
        <v>3:0 (1,3,3)</v>
      </c>
      <c r="AB8" s="25">
        <f t="shared" si="6"/>
        <v>1</v>
      </c>
      <c r="AC8" s="25">
        <f t="shared" si="7"/>
        <v>1</v>
      </c>
      <c r="AD8" s="25">
        <f t="shared" si="8"/>
        <v>1</v>
      </c>
      <c r="AE8" s="25">
        <f t="shared" si="9"/>
        <v>0</v>
      </c>
      <c r="AF8" s="25">
        <f t="shared" si="10"/>
        <v>0</v>
      </c>
    </row>
    <row r="9" spans="1:32" ht="13.5" thickBot="1">
      <c r="A9" s="131" t="str">
        <f>CONCATENATE("Čtyřhra ",úvod!$C$8,"M - 1.kolo")</f>
        <v>Čtyřhra U13M - 1.kolo</v>
      </c>
      <c r="B9" s="131">
        <f>'čt. M'!$B$31</f>
        <v>22</v>
      </c>
      <c r="C9" s="131" t="str">
        <f>IF($B9=0,"bye",VLOOKUP($B9,sez!$A$2:$D$259,2))</f>
        <v>Králík Jakub</v>
      </c>
      <c r="D9" s="131" t="str">
        <f>IF($B9=0,"",VLOOKUP($B9,sez!$A$2:$D$259,4))</f>
        <v>MS Brno</v>
      </c>
      <c r="E9" s="131">
        <f>'čt. M'!$B$32</f>
        <v>23</v>
      </c>
      <c r="F9" s="131" t="str">
        <f>IF($E9="","bye",VLOOKUP($E9,sez!$A$2:$D$259,2))</f>
        <v>Veselý Michael</v>
      </c>
      <c r="G9" s="131" t="str">
        <f>IF($E9="","",VLOOKUP($E9,sez!$A$2:$D$259,4))</f>
        <v>MS Brno</v>
      </c>
      <c r="H9" s="131">
        <f>'čt. M'!$B$33</f>
        <v>3</v>
      </c>
      <c r="I9" s="131" t="str">
        <f>IF($H9=0,"bye",VLOOKUP($H9,sez!$A$2:$D$259,2))</f>
        <v>Cupák Jakub</v>
      </c>
      <c r="J9" s="131" t="str">
        <f>IF($H9=0,"",VLOOKUP($H9,sez!$A$2:$D$259,4))</f>
        <v>KST FOSFA LVA</v>
      </c>
      <c r="K9" s="131">
        <f>'čt. M'!$B$34</f>
        <v>7</v>
      </c>
      <c r="L9" s="131" t="str">
        <f>IF($K9="","bye",VLOOKUP($K9,sez!$A$2:$D$259,2))</f>
        <v>Herman Jan</v>
      </c>
      <c r="M9" s="131" t="str">
        <f>IF($K9="","",VLOOKUP($K9,sez!$A$2:$D$259,4))</f>
        <v>KST FOSFA LVA</v>
      </c>
      <c r="N9" s="69" t="s">
        <v>137</v>
      </c>
      <c r="O9" s="70" t="s">
        <v>133</v>
      </c>
      <c r="P9" s="70" t="s">
        <v>124</v>
      </c>
      <c r="Q9" s="70"/>
      <c r="R9" s="71"/>
      <c r="S9" s="2">
        <f t="shared" si="0"/>
        <v>0</v>
      </c>
      <c r="T9" s="2">
        <f t="shared" si="1"/>
        <v>3</v>
      </c>
      <c r="U9" s="2">
        <f t="shared" si="2"/>
        <v>3</v>
      </c>
      <c r="V9" s="2" t="str">
        <f>IF($U9=0,"",VLOOKUP($U9,sez!$A$2:$D$259,2))</f>
        <v>Cupák Jakub</v>
      </c>
      <c r="W9" s="2">
        <f t="shared" si="3"/>
        <v>7</v>
      </c>
      <c r="X9" s="2" t="str">
        <f>IF($W9=0,"",VLOOKUP($W9,sez!$A$2:$D$259,2))</f>
        <v>Herman Jan</v>
      </c>
      <c r="Y9" s="2" t="str">
        <f t="shared" si="4"/>
        <v>3:0 (6,8,7)</v>
      </c>
      <c r="Z9" s="2" t="str">
        <f t="shared" si="5"/>
        <v>3:0 (6,8,7)</v>
      </c>
      <c r="AB9" s="25">
        <f t="shared" si="6"/>
        <v>-1</v>
      </c>
      <c r="AC9" s="25">
        <f t="shared" si="7"/>
        <v>-1</v>
      </c>
      <c r="AD9" s="25">
        <f t="shared" si="8"/>
        <v>-1</v>
      </c>
      <c r="AE9" s="25">
        <f t="shared" si="9"/>
        <v>0</v>
      </c>
      <c r="AF9" s="25">
        <f t="shared" si="10"/>
        <v>0</v>
      </c>
    </row>
    <row r="10" spans="3:18" ht="14.25" thickBot="1" thickTop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N10" s="19"/>
      <c r="O10" s="19"/>
      <c r="P10" s="19"/>
      <c r="Q10" s="19"/>
      <c r="R10" s="19"/>
    </row>
    <row r="11" spans="1:32" ht="13.5" thickTop="1">
      <c r="A11" s="2" t="str">
        <f>CONCATENATE("Čtyřhra ",úvod!$C$8,"M - 2.kolo")</f>
        <v>Čtyřhra U13M - 2.kolo</v>
      </c>
      <c r="B11" s="2">
        <f>U2</f>
        <v>1</v>
      </c>
      <c r="C11" s="103" t="str">
        <f>IF($B11=0,"",VLOOKUP($B11,sez!$A$2:$D$259,2))</f>
        <v>Flajšar Pavel</v>
      </c>
      <c r="D11" s="103" t="str">
        <f>IF($B11=0,"",VLOOKUP($B11,sez!$A$2:$D$259,4))</f>
        <v>SKST N. Lískovec</v>
      </c>
      <c r="E11" s="103">
        <f>W2</f>
        <v>2</v>
      </c>
      <c r="F11" s="103" t="str">
        <f>IF($E11=0,"",VLOOKUP($E11,sez!$A$2:$D$259,2))</f>
        <v>Vokřínek Tomáš</v>
      </c>
      <c r="G11" s="103" t="str">
        <f>IF($E11=0,"",VLOOKUP($E11,sez!$A$2:$D$259,4))</f>
        <v>MS Brno</v>
      </c>
      <c r="H11" s="103">
        <f>U3</f>
        <v>9</v>
      </c>
      <c r="I11" s="103" t="str">
        <f>IF($H11=0,"",VLOOKUP($H11,sez!$A$2:$D$259,2))</f>
        <v>Macánek Martin</v>
      </c>
      <c r="J11" s="103" t="str">
        <f>IF($H11=0,"",VLOOKUP($H11,sez!$A$2:$D$259,4))</f>
        <v>SKST Hodonín</v>
      </c>
      <c r="K11" s="103">
        <f>W3</f>
        <v>26</v>
      </c>
      <c r="L11" s="103" t="str">
        <f>IF($K11=0,"",VLOOKUP($K11,sez!$A$2:$D$259,2))</f>
        <v>Kmenta Josef</v>
      </c>
      <c r="M11" s="2" t="str">
        <f>IF($K11=0,"",VLOOKUP($K11,sez!$A$2:$D$259,4))</f>
        <v>SKST Hodonín</v>
      </c>
      <c r="N11" s="63" t="s">
        <v>122</v>
      </c>
      <c r="O11" s="64" t="s">
        <v>134</v>
      </c>
      <c r="P11" s="64" t="s">
        <v>128</v>
      </c>
      <c r="Q11" s="64"/>
      <c r="R11" s="65"/>
      <c r="S11" s="2">
        <f>COUNTIF(AB11:AF11,"&gt;0")</f>
        <v>3</v>
      </c>
      <c r="T11" s="2">
        <f>COUNTIF(AB11:AF11,"&lt;0")</f>
        <v>0</v>
      </c>
      <c r="U11" s="2">
        <f>IF(S11=T11,0,IF(S11&gt;T11,B11,H11))</f>
        <v>1</v>
      </c>
      <c r="V11" s="2" t="str">
        <f>IF($U11=0,"",VLOOKUP($U11,sez!$A$2:$D$259,2))</f>
        <v>Flajšar Pavel</v>
      </c>
      <c r="W11" s="2">
        <f>IF(S11=T11,0,IF(S11&gt;T11,E11,K11))</f>
        <v>2</v>
      </c>
      <c r="X11" s="2" t="str">
        <f>IF($W11=0,"",VLOOKUP($W11,sez!$A$2:$D$259,2))</f>
        <v>Vokřínek Tomáš</v>
      </c>
      <c r="Y11" s="2" t="str">
        <f>IF(S11=T11,"",IF(S11&gt;T11,CONCATENATE(S11,":",T11," (",N11,",",O11,",",P11,IF(SUM(S11:T11)&gt;3,",",""),Q11,IF(SUM(S11:T11)&gt;4,",",""),R11,")"),CONCATENATE(T11,":",S11," (",-N11,",",-O11,",",-P11,IF(SUM(S11:T11)&gt;3,",",""),IF(SUM(S11:T11)&gt;3,-Q11,""),IF(SUM(S11:T11)&gt;4,",",""),IF(SUM(S11:T11)&gt;4,-R11,""),")")))</f>
        <v>3:0 (10,7,2)</v>
      </c>
      <c r="Z11" s="2" t="str">
        <f>IF(MAX(S11:T11)=3,Y11,"")</f>
        <v>3:0 (10,7,2)</v>
      </c>
      <c r="AB11" s="25">
        <f aca="true" t="shared" si="11" ref="AB11:AF14">IF(N11="",0,IF(MID(N11,1,1)="-",-1,1))</f>
        <v>1</v>
      </c>
      <c r="AC11" s="25">
        <f t="shared" si="11"/>
        <v>1</v>
      </c>
      <c r="AD11" s="25">
        <f t="shared" si="11"/>
        <v>1</v>
      </c>
      <c r="AE11" s="25">
        <f t="shared" si="11"/>
        <v>0</v>
      </c>
      <c r="AF11" s="25">
        <f t="shared" si="11"/>
        <v>0</v>
      </c>
    </row>
    <row r="12" spans="1:32" ht="12.75">
      <c r="A12" s="2" t="str">
        <f>CONCATENATE("Čtyřhra ",úvod!$C$8,"M - 2.kolo")</f>
        <v>Čtyřhra U13M - 2.kolo</v>
      </c>
      <c r="B12" s="2">
        <f>U4</f>
        <v>6</v>
      </c>
      <c r="C12" s="103" t="str">
        <f>IF($B12=0,"",VLOOKUP($B12,sez!$A$2:$D$259,2))</f>
        <v>Koudelka David</v>
      </c>
      <c r="D12" s="103" t="str">
        <f>IF($B12=0,"",VLOOKUP($B12,sez!$A$2:$D$259,4))</f>
        <v>MS Brno</v>
      </c>
      <c r="E12" s="103">
        <f>W4</f>
        <v>16</v>
      </c>
      <c r="F12" s="103" t="str">
        <f>IF($E12=0,"",VLOOKUP($E12,sez!$A$2:$D$259,2))</f>
        <v>Čelko Ondřej</v>
      </c>
      <c r="G12" s="103" t="str">
        <f>IF($E12=0,"",VLOOKUP($E12,sez!$A$2:$D$259,4))</f>
        <v>Sokol Líšeň</v>
      </c>
      <c r="H12" s="103">
        <f>U5</f>
        <v>4</v>
      </c>
      <c r="I12" s="103" t="str">
        <f>IF($H12=0,"",VLOOKUP($H12,sez!$A$2:$D$259,2))</f>
        <v>Štěpánek Adam</v>
      </c>
      <c r="J12" s="103" t="str">
        <f>IF($H12=0,"",VLOOKUP($H12,sez!$A$2:$D$259,4))</f>
        <v>STP Mikulov</v>
      </c>
      <c r="K12" s="103">
        <f>W5</f>
        <v>12</v>
      </c>
      <c r="L12" s="103" t="str">
        <f>IF($K12=0,"",VLOOKUP($K12,sez!$A$2:$D$259,2))</f>
        <v>Jež Vítek</v>
      </c>
      <c r="M12" s="2" t="str">
        <f>IF($K12=0,"",VLOOKUP($K12,sez!$A$2:$D$259,4))</f>
        <v>STP Mikulov</v>
      </c>
      <c r="N12" s="66" t="s">
        <v>126</v>
      </c>
      <c r="O12" s="67" t="s">
        <v>124</v>
      </c>
      <c r="P12" s="67" t="s">
        <v>126</v>
      </c>
      <c r="Q12" s="67"/>
      <c r="R12" s="68"/>
      <c r="S12" s="2">
        <f>COUNTIF(AB12:AF12,"&gt;0")</f>
        <v>0</v>
      </c>
      <c r="T12" s="2">
        <f>COUNTIF(AB12:AF12,"&lt;0")</f>
        <v>3</v>
      </c>
      <c r="U12" s="2">
        <f>IF(S12=T12,0,IF(S12&gt;T12,B12,H12))</f>
        <v>4</v>
      </c>
      <c r="V12" s="2" t="str">
        <f>IF($U12=0,"",VLOOKUP($U12,sez!$A$2:$D$259,2))</f>
        <v>Štěpánek Adam</v>
      </c>
      <c r="W12" s="2">
        <f>IF(S12=T12,0,IF(S12&gt;T12,E12,K12))</f>
        <v>12</v>
      </c>
      <c r="X12" s="2" t="str">
        <f>IF($W12=0,"",VLOOKUP($W12,sez!$A$2:$D$259,2))</f>
        <v>Jež Vítek</v>
      </c>
      <c r="Y12" s="2" t="str">
        <f>IF(S12=T12,"",IF(S12&gt;T12,CONCATENATE(S12,":",T12," (",N12,",",O12,",",P12,IF(SUM(S12:T12)&gt;3,",",""),Q12,IF(SUM(S12:T12)&gt;4,",",""),R12,")"),CONCATENATE(T12,":",S12," (",-N12,",",-O12,",",-P12,IF(SUM(S12:T12)&gt;3,",",""),IF(SUM(S12:T12)&gt;3,-Q12,""),IF(SUM(S12:T12)&gt;4,",",""),IF(SUM(S12:T12)&gt;4,-R12,""),")")))</f>
        <v>3:0 (4,7,4)</v>
      </c>
      <c r="Z12" s="2" t="str">
        <f>IF(MAX(S12:T12)=3,Y12,"")</f>
        <v>3:0 (4,7,4)</v>
      </c>
      <c r="AB12" s="25">
        <f t="shared" si="11"/>
        <v>-1</v>
      </c>
      <c r="AC12" s="25">
        <f t="shared" si="11"/>
        <v>-1</v>
      </c>
      <c r="AD12" s="25">
        <f t="shared" si="11"/>
        <v>-1</v>
      </c>
      <c r="AE12" s="25">
        <f t="shared" si="11"/>
        <v>0</v>
      </c>
      <c r="AF12" s="25">
        <f t="shared" si="11"/>
        <v>0</v>
      </c>
    </row>
    <row r="13" spans="1:32" ht="12.75">
      <c r="A13" s="2" t="str">
        <f>CONCATENATE("Čtyřhra ",úvod!$C$8,"M - 2.kolo")</f>
        <v>Čtyřhra U13M - 2.kolo</v>
      </c>
      <c r="B13" s="2">
        <f>U6</f>
        <v>5</v>
      </c>
      <c r="C13" s="103" t="str">
        <f>IF($B13=0,"",VLOOKUP($B13,sez!$A$2:$D$259,2))</f>
        <v>Solfronk Adam</v>
      </c>
      <c r="D13" s="103" t="str">
        <f>IF($B13=0,"",VLOOKUP($B13,sez!$A$2:$D$259,4))</f>
        <v>MS Brno</v>
      </c>
      <c r="E13" s="103">
        <f>W6</f>
        <v>8</v>
      </c>
      <c r="F13" s="103" t="str">
        <f>IF($E13=0,"",VLOOKUP($E13,sez!$A$2:$D$259,2))</f>
        <v>Dvorský Vojtěch</v>
      </c>
      <c r="G13" s="103" t="str">
        <f>IF($E13=0,"",VLOOKUP($E13,sez!$A$2:$D$259,4))</f>
        <v>MS Brno</v>
      </c>
      <c r="H13" s="103">
        <f>U7</f>
        <v>11</v>
      </c>
      <c r="I13" s="103" t="str">
        <f>IF($H13=0,"",VLOOKUP($H13,sez!$A$2:$D$259,2))</f>
        <v>Barták Lukáš</v>
      </c>
      <c r="J13" s="103" t="str">
        <f>IF($H13=0,"",VLOOKUP($H13,sez!$A$2:$D$259,4))</f>
        <v>KST Kunštát</v>
      </c>
      <c r="K13" s="103">
        <f>W7</f>
        <v>27</v>
      </c>
      <c r="L13" s="103" t="str">
        <f>IF($K13=0,"",VLOOKUP($K13,sez!$A$2:$D$259,2))</f>
        <v>Chloupek Tomáš</v>
      </c>
      <c r="M13" s="2" t="str">
        <f>IF($K13=0,"",VLOOKUP($K13,sez!$A$2:$D$259,4))</f>
        <v>KST Kunštát</v>
      </c>
      <c r="N13" s="66" t="s">
        <v>129</v>
      </c>
      <c r="O13" s="67" t="s">
        <v>123</v>
      </c>
      <c r="P13" s="67" t="s">
        <v>123</v>
      </c>
      <c r="Q13" s="67"/>
      <c r="R13" s="68"/>
      <c r="S13" s="2">
        <f>COUNTIF(AB13:AF13,"&gt;0")</f>
        <v>3</v>
      </c>
      <c r="T13" s="2">
        <f>COUNTIF(AB13:AF13,"&lt;0")</f>
        <v>0</v>
      </c>
      <c r="U13" s="2">
        <f>IF(S13=T13,0,IF(S13&gt;T13,B13,H13))</f>
        <v>5</v>
      </c>
      <c r="V13" s="2" t="str">
        <f>IF($U13=0,"",VLOOKUP($U13,sez!$A$2:$D$259,2))</f>
        <v>Solfronk Adam</v>
      </c>
      <c r="W13" s="2">
        <f>IF(S13=T13,0,IF(S13&gt;T13,E13,K13))</f>
        <v>8</v>
      </c>
      <c r="X13" s="2" t="str">
        <f>IF($W13=0,"",VLOOKUP($W13,sez!$A$2:$D$259,2))</f>
        <v>Dvorský Vojtěch</v>
      </c>
      <c r="Y13" s="2" t="str">
        <f>IF(S13=T13,"",IF(S13&gt;T13,CONCATENATE(S13,":",T13," (",N13,",",O13,",",P13,IF(SUM(S13:T13)&gt;3,",",""),Q13,IF(SUM(S13:T13)&gt;4,",",""),R13,")"),CONCATENATE(T13,":",S13," (",-N13,",",-O13,",",-P13,IF(SUM(S13:T13)&gt;3,",",""),IF(SUM(S13:T13)&gt;3,-Q13,""),IF(SUM(S13:T13)&gt;4,",",""),IF(SUM(S13:T13)&gt;4,-R13,""),")")))</f>
        <v>3:0 (4,5,5)</v>
      </c>
      <c r="Z13" s="2" t="str">
        <f>IF(MAX(S13:T13)=3,Y13,"")</f>
        <v>3:0 (4,5,5)</v>
      </c>
      <c r="AB13" s="25">
        <f t="shared" si="11"/>
        <v>1</v>
      </c>
      <c r="AC13" s="25">
        <f t="shared" si="11"/>
        <v>1</v>
      </c>
      <c r="AD13" s="25">
        <f t="shared" si="11"/>
        <v>1</v>
      </c>
      <c r="AE13" s="25">
        <f t="shared" si="11"/>
        <v>0</v>
      </c>
      <c r="AF13" s="25">
        <f t="shared" si="11"/>
        <v>0</v>
      </c>
    </row>
    <row r="14" spans="1:32" ht="13.5" thickBot="1">
      <c r="A14" s="2" t="str">
        <f>CONCATENATE("Čtyřhra ",úvod!$C$8,"M - 2.kolo")</f>
        <v>Čtyřhra U13M - 2.kolo</v>
      </c>
      <c r="B14" s="2">
        <f>U8</f>
        <v>13</v>
      </c>
      <c r="C14" s="103" t="str">
        <f>IF($B14=0,"",VLOOKUP($B14,sez!$A$2:$D$259,2))</f>
        <v>Tuč Michal</v>
      </c>
      <c r="D14" s="103" t="str">
        <f>IF($B14=0,"",VLOOKUP($B14,sez!$A$2:$D$259,4))</f>
        <v>Sokol Brno I</v>
      </c>
      <c r="E14" s="103">
        <f>W8</f>
        <v>18</v>
      </c>
      <c r="F14" s="103" t="str">
        <f>IF($E14=0,"",VLOOKUP($E14,sez!$A$2:$D$259,2))</f>
        <v>Čermák Jan</v>
      </c>
      <c r="G14" s="103" t="str">
        <f>IF($E14=0,"",VLOOKUP($E14,sez!$A$2:$D$259,4))</f>
        <v>Sokol Brno I</v>
      </c>
      <c r="H14" s="103">
        <f>U9</f>
        <v>3</v>
      </c>
      <c r="I14" s="103" t="str">
        <f>IF($H14=0,"",VLOOKUP($H14,sez!$A$2:$D$259,2))</f>
        <v>Cupák Jakub</v>
      </c>
      <c r="J14" s="103" t="str">
        <f>IF($H14=0,"",VLOOKUP($H14,sez!$A$2:$D$259,4))</f>
        <v>KST FOSFA LVA</v>
      </c>
      <c r="K14" s="103">
        <f>W9</f>
        <v>7</v>
      </c>
      <c r="L14" s="103" t="str">
        <f>IF($K14=0,"",VLOOKUP($K14,sez!$A$2:$D$259,2))</f>
        <v>Herman Jan</v>
      </c>
      <c r="M14" s="2" t="str">
        <f>IF($K14=0,"",VLOOKUP($K14,sez!$A$2:$D$259,4))</f>
        <v>KST FOSFA LVA</v>
      </c>
      <c r="N14" s="69" t="s">
        <v>146</v>
      </c>
      <c r="O14" s="70" t="s">
        <v>133</v>
      </c>
      <c r="P14" s="70" t="s">
        <v>133</v>
      </c>
      <c r="Q14" s="70"/>
      <c r="R14" s="71"/>
      <c r="S14" s="2">
        <f>COUNTIF(AB14:AF14,"&gt;0")</f>
        <v>0</v>
      </c>
      <c r="T14" s="2">
        <f>COUNTIF(AB14:AF14,"&lt;0")</f>
        <v>3</v>
      </c>
      <c r="U14" s="2">
        <f>IF(S14=T14,0,IF(S14&gt;T14,B14,H14))</f>
        <v>3</v>
      </c>
      <c r="V14" s="2" t="str">
        <f>IF($U14=0,"",VLOOKUP($U14,sez!$A$2:$D$259,2))</f>
        <v>Cupák Jakub</v>
      </c>
      <c r="W14" s="2">
        <f>IF(S14=T14,0,IF(S14&gt;T14,E14,K14))</f>
        <v>7</v>
      </c>
      <c r="X14" s="2" t="str">
        <f>IF($W14=0,"",VLOOKUP($W14,sez!$A$2:$D$259,2))</f>
        <v>Herman Jan</v>
      </c>
      <c r="Y14" s="2" t="str">
        <f>IF(S14=T14,"",IF(S14&gt;T14,CONCATENATE(S14,":",T14," (",N14,",",O14,",",P14,IF(SUM(S14:T14)&gt;3,",",""),Q14,IF(SUM(S14:T14)&gt;4,",",""),R14,")"),CONCATENATE(T14,":",S14," (",-N14,",",-O14,",",-P14,IF(SUM(S14:T14)&gt;3,",",""),IF(SUM(S14:T14)&gt;3,-Q14,""),IF(SUM(S14:T14)&gt;4,",",""),IF(SUM(S14:T14)&gt;4,-R14,""),")")))</f>
        <v>3:0 (13,8,8)</v>
      </c>
      <c r="Z14" s="2" t="str">
        <f>IF(MAX(S14:T14)=3,Y14,"")</f>
        <v>3:0 (13,8,8)</v>
      </c>
      <c r="AB14" s="25">
        <f t="shared" si="11"/>
        <v>-1</v>
      </c>
      <c r="AC14" s="25">
        <f t="shared" si="11"/>
        <v>-1</v>
      </c>
      <c r="AD14" s="25">
        <f t="shared" si="11"/>
        <v>-1</v>
      </c>
      <c r="AE14" s="25">
        <f t="shared" si="11"/>
        <v>0</v>
      </c>
      <c r="AF14" s="25">
        <f t="shared" si="11"/>
        <v>0</v>
      </c>
    </row>
    <row r="15" spans="3:18" ht="14.25" thickBot="1" thickTop="1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N15" s="19"/>
      <c r="O15" s="19"/>
      <c r="P15" s="19"/>
      <c r="Q15" s="19"/>
      <c r="R15" s="19"/>
    </row>
    <row r="16" spans="1:32" ht="13.5" thickTop="1">
      <c r="A16" s="2" t="str">
        <f>CONCATENATE("Čtyřhra ",úvod!$C$8,"M - semifinále")</f>
        <v>Čtyřhra U13M - semifinále</v>
      </c>
      <c r="B16" s="2">
        <f>U11</f>
        <v>1</v>
      </c>
      <c r="C16" s="103" t="str">
        <f>IF($B16=0,"",VLOOKUP($B16,sez!$A$2:$D$259,2))</f>
        <v>Flajšar Pavel</v>
      </c>
      <c r="D16" s="103" t="str">
        <f>IF($B16=0,"",VLOOKUP($B16,sez!$A$2:$D$259,4))</f>
        <v>SKST N. Lískovec</v>
      </c>
      <c r="E16" s="103">
        <f>W11</f>
        <v>2</v>
      </c>
      <c r="F16" s="103" t="str">
        <f>IF($E16=0,"",VLOOKUP($E16,sez!$A$2:$D$259,2))</f>
        <v>Vokřínek Tomáš</v>
      </c>
      <c r="G16" s="103" t="str">
        <f>IF($E16=0,"",VLOOKUP($E16,sez!$A$2:$D$259,4))</f>
        <v>MS Brno</v>
      </c>
      <c r="H16" s="103">
        <f>U12</f>
        <v>4</v>
      </c>
      <c r="I16" s="103" t="str">
        <f>IF($H16=0,"",VLOOKUP($H16,sez!$A$2:$D$259,2))</f>
        <v>Štěpánek Adam</v>
      </c>
      <c r="J16" s="103" t="str">
        <f>IF($H16=0,"",VLOOKUP($H16,sez!$A$2:$D$259,4))</f>
        <v>STP Mikulov</v>
      </c>
      <c r="K16" s="103">
        <f>W12</f>
        <v>12</v>
      </c>
      <c r="L16" s="103" t="str">
        <f>IF($K16=0,"",VLOOKUP($K16,sez!$A$2:$D$259,2))</f>
        <v>Jež Vítek</v>
      </c>
      <c r="M16" s="2" t="str">
        <f>IF($K16=0,"",VLOOKUP($K16,sez!$A$2:$D$259,4))</f>
        <v>STP Mikulov</v>
      </c>
      <c r="N16" s="63" t="s">
        <v>134</v>
      </c>
      <c r="O16" s="64" t="s">
        <v>131</v>
      </c>
      <c r="P16" s="64" t="s">
        <v>131</v>
      </c>
      <c r="Q16" s="64"/>
      <c r="R16" s="65"/>
      <c r="S16" s="2">
        <f>COUNTIF(AB16:AF16,"&gt;0")</f>
        <v>3</v>
      </c>
      <c r="T16" s="2">
        <f>COUNTIF(AB16:AF16,"&lt;0")</f>
        <v>0</v>
      </c>
      <c r="U16" s="2">
        <f>IF(S16=T16,0,IF(S16&gt;T16,B16,H16))</f>
        <v>1</v>
      </c>
      <c r="V16" s="2" t="str">
        <f>IF($U16=0,"",VLOOKUP($U16,sez!$A$2:$D$259,2))</f>
        <v>Flajšar Pavel</v>
      </c>
      <c r="W16" s="2">
        <f>IF(S16=T16,0,IF(S16&gt;T16,E16,K16))</f>
        <v>2</v>
      </c>
      <c r="X16" s="2" t="str">
        <f>IF($W16=0,"",VLOOKUP($W16,sez!$A$2:$D$259,2))</f>
        <v>Vokřínek Tomáš</v>
      </c>
      <c r="Y16" s="2" t="str">
        <f>IF(S16=T16,"",IF(S16&gt;T16,CONCATENATE(S16,":",T16," (",N16,",",O16,",",P16,IF(SUM(S16:T16)&gt;3,",",""),Q16,IF(SUM(S16:T16)&gt;4,",",""),R16,")"),CONCATENATE(T16,":",S16," (",-N16,",",-O16,",",-P16,IF(SUM(S16:T16)&gt;3,",",""),IF(SUM(S16:T16)&gt;3,-Q16,""),IF(SUM(S16:T16)&gt;4,",",""),IF(SUM(S16:T16)&gt;4,-R16,""),")")))</f>
        <v>3:0 (7,6,6)</v>
      </c>
      <c r="Z16" s="2" t="str">
        <f>IF(MAX(S16:T16)=3,Y16,"")</f>
        <v>3:0 (7,6,6)</v>
      </c>
      <c r="AB16" s="25">
        <f aca="true" t="shared" si="12" ref="AB16:AF17">IF(N16="",0,IF(MID(N16,1,1)="-",-1,1))</f>
        <v>1</v>
      </c>
      <c r="AC16" s="25">
        <f t="shared" si="12"/>
        <v>1</v>
      </c>
      <c r="AD16" s="25">
        <f t="shared" si="12"/>
        <v>1</v>
      </c>
      <c r="AE16" s="25">
        <f t="shared" si="12"/>
        <v>0</v>
      </c>
      <c r="AF16" s="25">
        <f t="shared" si="12"/>
        <v>0</v>
      </c>
    </row>
    <row r="17" spans="1:32" ht="13.5" thickBot="1">
      <c r="A17" s="2" t="str">
        <f>CONCATENATE("Čtyřhra ",úvod!$C$8,"M - semifinále")</f>
        <v>Čtyřhra U13M - semifinále</v>
      </c>
      <c r="B17" s="2">
        <f>U13</f>
        <v>5</v>
      </c>
      <c r="C17" s="103" t="str">
        <f>IF($B17=0,"",VLOOKUP($B17,sez!$A$2:$D$259,2))</f>
        <v>Solfronk Adam</v>
      </c>
      <c r="D17" s="103" t="str">
        <f>IF($B17=0,"",VLOOKUP($B17,sez!$A$2:$D$259,4))</f>
        <v>MS Brno</v>
      </c>
      <c r="E17" s="103">
        <f>W13</f>
        <v>8</v>
      </c>
      <c r="F17" s="103" t="str">
        <f>IF($E17=0,"",VLOOKUP($E17,sez!$A$2:$D$259,2))</f>
        <v>Dvorský Vojtěch</v>
      </c>
      <c r="G17" s="103" t="str">
        <f>IF($E17=0,"",VLOOKUP($E17,sez!$A$2:$D$259,4))</f>
        <v>MS Brno</v>
      </c>
      <c r="H17" s="103">
        <f>U14</f>
        <v>3</v>
      </c>
      <c r="I17" s="103" t="str">
        <f>IF($H17=0,"",VLOOKUP($H17,sez!$A$2:$D$259,2))</f>
        <v>Cupák Jakub</v>
      </c>
      <c r="J17" s="103" t="str">
        <f>IF($H17=0,"",VLOOKUP($H17,sez!$A$2:$D$259,4))</f>
        <v>KST FOSFA LVA</v>
      </c>
      <c r="K17" s="103">
        <f>W14</f>
        <v>7</v>
      </c>
      <c r="L17" s="103" t="str">
        <f>IF($K17=0,"",VLOOKUP($K17,sez!$A$2:$D$259,2))</f>
        <v>Herman Jan</v>
      </c>
      <c r="M17" s="2" t="str">
        <f>IF($K17=0,"",VLOOKUP($K17,sez!$A$2:$D$259,4))</f>
        <v>KST FOSFA LVA</v>
      </c>
      <c r="N17" s="69" t="s">
        <v>134</v>
      </c>
      <c r="O17" s="70" t="s">
        <v>122</v>
      </c>
      <c r="P17" s="70" t="s">
        <v>132</v>
      </c>
      <c r="Q17" s="70"/>
      <c r="R17" s="71"/>
      <c r="S17" s="2">
        <f>COUNTIF(AB17:AF17,"&gt;0")</f>
        <v>3</v>
      </c>
      <c r="T17" s="2">
        <f>COUNTIF(AB17:AF17,"&lt;0")</f>
        <v>0</v>
      </c>
      <c r="U17" s="2">
        <f>IF(S17=T17,0,IF(S17&gt;T17,B17,H17))</f>
        <v>5</v>
      </c>
      <c r="V17" s="2" t="str">
        <f>IF($U17=0,"",VLOOKUP($U17,sez!$A$2:$D$259,2))</f>
        <v>Solfronk Adam</v>
      </c>
      <c r="W17" s="2">
        <f>IF(S17=T17,0,IF(S17&gt;T17,E17,K17))</f>
        <v>8</v>
      </c>
      <c r="X17" s="2" t="str">
        <f>IF($W17=0,"",VLOOKUP($W17,sez!$A$2:$D$259,2))</f>
        <v>Dvorský Vojtěch</v>
      </c>
      <c r="Y17" s="2" t="str">
        <f>IF(S17=T17,"",IF(S17&gt;T17,CONCATENATE(S17,":",T17," (",N17,",",O17,",",P17,IF(SUM(S17:T17)&gt;3,",",""),Q17,IF(SUM(S17:T17)&gt;4,",",""),R17,")"),CONCATENATE(T17,":",S17," (",-N17,",",-O17,",",-P17,IF(SUM(S17:T17)&gt;3,",",""),IF(SUM(S17:T17)&gt;3,-Q17,""),IF(SUM(S17:T17)&gt;4,",",""),IF(SUM(S17:T17)&gt;4,-R17,""),")")))</f>
        <v>3:0 (7,10,3)</v>
      </c>
      <c r="Z17" s="2" t="str">
        <f>IF(MAX(S17:T17)=3,Y17,"")</f>
        <v>3:0 (7,10,3)</v>
      </c>
      <c r="AB17" s="25">
        <f t="shared" si="12"/>
        <v>1</v>
      </c>
      <c r="AC17" s="25">
        <f t="shared" si="12"/>
        <v>1</v>
      </c>
      <c r="AD17" s="25">
        <f t="shared" si="12"/>
        <v>1</v>
      </c>
      <c r="AE17" s="25">
        <f t="shared" si="12"/>
        <v>0</v>
      </c>
      <c r="AF17" s="25">
        <f t="shared" si="12"/>
        <v>0</v>
      </c>
    </row>
    <row r="18" spans="3:12" ht="14.25" thickBot="1" thickTop="1"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32" ht="14.25" thickBot="1" thickTop="1">
      <c r="A19" s="2" t="str">
        <f>CONCATENATE("Čtyřhra ",úvod!$C$8,"M - finále")</f>
        <v>Čtyřhra U13M - finále</v>
      </c>
      <c r="B19" s="2">
        <f>U16</f>
        <v>1</v>
      </c>
      <c r="C19" s="103" t="str">
        <f>IF($B19=0,"",VLOOKUP($B19,sez!$A$2:$D$259,2))</f>
        <v>Flajšar Pavel</v>
      </c>
      <c r="D19" s="103" t="str">
        <f>IF($B19=0,"",VLOOKUP($B19,sez!$A$2:$D$259,4))</f>
        <v>SKST N. Lískovec</v>
      </c>
      <c r="E19" s="103">
        <f>W16</f>
        <v>2</v>
      </c>
      <c r="F19" s="103" t="str">
        <f>IF($E19=0,"",VLOOKUP($E19,sez!$A$2:$D$259,2))</f>
        <v>Vokřínek Tomáš</v>
      </c>
      <c r="G19" s="103" t="str">
        <f>IF($E19=0,"",VLOOKUP($E19,sez!$A$2:$D$259,4))</f>
        <v>MS Brno</v>
      </c>
      <c r="H19" s="103">
        <f>U17</f>
        <v>5</v>
      </c>
      <c r="I19" s="103" t="str">
        <f>IF($H19=0,"",VLOOKUP($H19,sez!$A$2:$D$259,2))</f>
        <v>Solfronk Adam</v>
      </c>
      <c r="J19" s="103" t="str">
        <f>IF($H19=0,"",VLOOKUP($H19,sez!$A$2:$D$259,4))</f>
        <v>MS Brno</v>
      </c>
      <c r="K19" s="103">
        <f>W17</f>
        <v>8</v>
      </c>
      <c r="L19" s="103" t="str">
        <f>IF($K19=0,"",VLOOKUP($K19,sez!$A$2:$D$259,2))</f>
        <v>Dvorský Vojtěch</v>
      </c>
      <c r="M19" s="2" t="str">
        <f>IF($K19=0,"",VLOOKUP($K19,sez!$A$2:$D$259,4))</f>
        <v>MS Brno</v>
      </c>
      <c r="N19" s="72" t="s">
        <v>130</v>
      </c>
      <c r="O19" s="73" t="s">
        <v>123</v>
      </c>
      <c r="P19" s="73" t="s">
        <v>132</v>
      </c>
      <c r="Q19" s="73"/>
      <c r="R19" s="74"/>
      <c r="S19" s="2">
        <f>COUNTIF(AB19:AF19,"&gt;0")</f>
        <v>3</v>
      </c>
      <c r="T19" s="2">
        <f>COUNTIF(AB19:AF19,"&lt;0")</f>
        <v>0</v>
      </c>
      <c r="U19" s="2">
        <f>IF(S19=T19,0,IF(S19&gt;T19,B19,H19))</f>
        <v>1</v>
      </c>
      <c r="V19" s="2" t="str">
        <f>IF($U19=0,"",VLOOKUP($U19,sez!$A$2:$D$259,2))</f>
        <v>Flajšar Pavel</v>
      </c>
      <c r="W19" s="2">
        <f>IF(S19=T19,0,IF(S19&gt;T19,E19,K19))</f>
        <v>2</v>
      </c>
      <c r="X19" s="2" t="str">
        <f>IF($W19=0,"",VLOOKUP($W19,sez!$A$2:$D$259,2))</f>
        <v>Vokřínek Tomáš</v>
      </c>
      <c r="Y19" s="2" t="str">
        <f>IF(S19=T19,"",IF(S19&gt;T19,CONCATENATE(S19,":",T19," (",N19,",",O19,",",P19,IF(SUM(S19:T19)&gt;3,",",""),Q19,IF(SUM(S19:T19)&gt;4,",",""),R19,")"),CONCATENATE(T19,":",S19," (",-N19,",",-O19,",",-P19,IF(SUM(S19:T19)&gt;3,",",""),IF(SUM(S19:T19)&gt;3,-Q19,""),IF(SUM(S19:T19)&gt;4,",",""),IF(SUM(S19:T19)&gt;4,-R19,""),")")))</f>
        <v>3:0 (8,5,3)</v>
      </c>
      <c r="Z19" s="2" t="str">
        <f>IF(MAX(S19:T19)=3,Y19,"")</f>
        <v>3:0 (8,5,3)</v>
      </c>
      <c r="AB19" s="25">
        <f>IF(N19="",0,IF(MID(N19,1,1)="-",-1,1))</f>
        <v>1</v>
      </c>
      <c r="AC19" s="25">
        <f>IF(O19="",0,IF(MID(O19,1,1)="-",-1,1))</f>
        <v>1</v>
      </c>
      <c r="AD19" s="25">
        <f>IF(P19="",0,IF(MID(P19,1,1)="-",-1,1))</f>
        <v>1</v>
      </c>
      <c r="AE19" s="25">
        <f>IF(Q19="",0,IF(MID(Q19,1,1)="-",-1,1))</f>
        <v>0</v>
      </c>
      <c r="AF19" s="25">
        <f>IF(R19="",0,IF(MID(R19,1,1)="-",-1,1))</f>
        <v>0</v>
      </c>
    </row>
    <row r="20" spans="3:12" ht="13.5" thickTop="1"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3:12" ht="12.75"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3:12" ht="12.75"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:G13"/>
    </sheetView>
  </sheetViews>
  <sheetFormatPr defaultColWidth="9.00390625" defaultRowHeight="12.75"/>
  <cols>
    <col min="1" max="1" width="23.75390625" style="126" bestFit="1" customWidth="1"/>
    <col min="2" max="2" width="4.875" style="126" bestFit="1" customWidth="1"/>
    <col min="3" max="3" width="17.75390625" style="126" customWidth="1"/>
    <col min="4" max="4" width="21.125" style="126" bestFit="1" customWidth="1"/>
    <col min="5" max="5" width="4.00390625" style="126" bestFit="1" customWidth="1"/>
    <col min="6" max="6" width="16.25390625" style="126" customWidth="1"/>
    <col min="7" max="7" width="20.25390625" style="126" customWidth="1"/>
    <col min="8" max="8" width="12.625" style="0" bestFit="1" customWidth="1"/>
    <col min="10" max="10" width="4.00390625" style="0" bestFit="1" customWidth="1"/>
    <col min="11" max="11" width="4.625" style="0" bestFit="1" customWidth="1"/>
  </cols>
  <sheetData>
    <row r="1" spans="1:10" ht="12.75">
      <c r="A1" s="124" t="s">
        <v>33</v>
      </c>
      <c r="B1" s="124" t="str">
        <f>'[1]V-3 16'!B1</f>
        <v>číslo</v>
      </c>
      <c r="C1" s="124" t="str">
        <f>'[1]V-3 16'!C1</f>
        <v>hráč1</v>
      </c>
      <c r="D1" s="124" t="str">
        <f>'[1]V-3 16'!D1</f>
        <v>klub</v>
      </c>
      <c r="E1" s="124" t="str">
        <f>'[1]V-3 16'!E1</f>
        <v>číslo</v>
      </c>
      <c r="F1" s="124" t="str">
        <f>'[1]V-3 16'!F1</f>
        <v>hráč2</v>
      </c>
      <c r="G1" s="124" t="str">
        <f>'[1]V-3 16'!G1</f>
        <v>klub</v>
      </c>
      <c r="H1" s="77"/>
      <c r="I1" s="77"/>
      <c r="J1" s="77"/>
    </row>
    <row r="2" spans="1:8" ht="12.75">
      <c r="A2" s="125"/>
      <c r="B2" s="125"/>
      <c r="C2" s="125"/>
      <c r="D2" s="125"/>
      <c r="E2" s="125"/>
      <c r="F2" s="125"/>
      <c r="G2" s="125"/>
      <c r="H2" s="90"/>
    </row>
    <row r="3" spans="1:8" ht="12.75">
      <c r="A3" s="125"/>
      <c r="B3" s="125"/>
      <c r="C3" s="125"/>
      <c r="D3" s="125"/>
      <c r="E3" s="125"/>
      <c r="F3" s="125"/>
      <c r="G3" s="125"/>
      <c r="H3" s="90"/>
    </row>
    <row r="4" spans="1:8" ht="12.75">
      <c r="A4" s="125"/>
      <c r="B4" s="125"/>
      <c r="C4" s="125"/>
      <c r="D4" s="125"/>
      <c r="E4" s="125"/>
      <c r="F4" s="125"/>
      <c r="G4" s="125"/>
      <c r="H4" s="90"/>
    </row>
    <row r="5" spans="1:8" ht="12.75">
      <c r="A5" s="125"/>
      <c r="B5" s="125"/>
      <c r="C5" s="125"/>
      <c r="D5" s="125"/>
      <c r="E5" s="125"/>
      <c r="F5" s="125"/>
      <c r="G5" s="125"/>
      <c r="H5" s="90"/>
    </row>
    <row r="6" spans="1:8" ht="12.75">
      <c r="A6" s="125"/>
      <c r="B6" s="125"/>
      <c r="C6" s="125"/>
      <c r="D6" s="125"/>
      <c r="E6" s="125"/>
      <c r="F6" s="125"/>
      <c r="G6" s="125"/>
      <c r="H6" s="90"/>
    </row>
    <row r="7" spans="1:8" ht="12.75">
      <c r="A7" s="125"/>
      <c r="B7" s="125"/>
      <c r="C7" s="125"/>
      <c r="D7" s="125"/>
      <c r="E7" s="125"/>
      <c r="F7" s="125"/>
      <c r="G7" s="125"/>
      <c r="H7" s="90"/>
    </row>
    <row r="8" spans="1:8" ht="12.75">
      <c r="A8" s="125"/>
      <c r="B8" s="125"/>
      <c r="C8" s="125"/>
      <c r="D8" s="125"/>
      <c r="E8" s="125"/>
      <c r="F8" s="125"/>
      <c r="G8" s="125"/>
      <c r="H8" s="90"/>
    </row>
    <row r="9" spans="1:8" ht="12.75">
      <c r="A9" s="125"/>
      <c r="B9" s="125"/>
      <c r="C9" s="125"/>
      <c r="D9" s="125"/>
      <c r="E9" s="125"/>
      <c r="F9" s="125"/>
      <c r="G9" s="125"/>
      <c r="H9" s="90"/>
    </row>
    <row r="10" spans="1:8" ht="12.75">
      <c r="A10" s="125"/>
      <c r="B10" s="125"/>
      <c r="C10" s="125"/>
      <c r="D10" s="125"/>
      <c r="E10" s="125"/>
      <c r="F10" s="125"/>
      <c r="G10" s="125"/>
      <c r="H10" s="90"/>
    </row>
    <row r="11" spans="1:8" ht="12.75">
      <c r="A11" s="125"/>
      <c r="B11" s="125"/>
      <c r="C11" s="125"/>
      <c r="D11" s="125"/>
      <c r="E11" s="125"/>
      <c r="F11" s="125"/>
      <c r="G11" s="125"/>
      <c r="H11" s="90"/>
    </row>
    <row r="12" spans="1:8" ht="12.75">
      <c r="A12" s="125"/>
      <c r="B12" s="125"/>
      <c r="C12" s="125"/>
      <c r="D12" s="125"/>
      <c r="E12" s="125"/>
      <c r="F12" s="125"/>
      <c r="G12" s="125"/>
      <c r="H12" s="90"/>
    </row>
    <row r="13" spans="1:8" ht="12.75">
      <c r="A13" s="125"/>
      <c r="B13" s="125"/>
      <c r="C13" s="125"/>
      <c r="D13" s="125"/>
      <c r="E13" s="125"/>
      <c r="F13" s="125"/>
      <c r="G13" s="125"/>
      <c r="H13" s="9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60" zoomScaleNormal="75" zoomScalePageLayoutView="0" workbookViewId="0" topLeftCell="A1">
      <selection activeCell="D7" sqref="D7:F7"/>
    </sheetView>
  </sheetViews>
  <sheetFormatPr defaultColWidth="9.00390625" defaultRowHeight="12.75"/>
  <cols>
    <col min="1" max="6" width="13.75390625" style="91" customWidth="1"/>
    <col min="7" max="7" width="3.75390625" style="91" customWidth="1"/>
    <col min="8" max="13" width="13.75390625" style="91" customWidth="1"/>
    <col min="14" max="14" width="2.75390625" style="91" customWidth="1"/>
    <col min="15" max="16384" width="9.125" style="91" customWidth="1"/>
  </cols>
  <sheetData>
    <row r="1" spans="1:13" ht="36" customHeight="1" thickTop="1">
      <c r="A1" s="155" t="str">
        <f>úvod!$C$6</f>
        <v>krajské přebory</v>
      </c>
      <c r="B1" s="156"/>
      <c r="C1" s="156"/>
      <c r="D1" s="156"/>
      <c r="E1" s="156"/>
      <c r="F1" s="157"/>
      <c r="H1" s="155" t="str">
        <f>úvod!$C$6</f>
        <v>krajské přebory</v>
      </c>
      <c r="I1" s="156"/>
      <c r="J1" s="156"/>
      <c r="K1" s="156"/>
      <c r="L1" s="156"/>
      <c r="M1" s="157"/>
    </row>
    <row r="2" spans="1:13" ht="36" customHeight="1">
      <c r="A2" s="149">
        <f>'Z-singl'!A2</f>
        <v>0</v>
      </c>
      <c r="B2" s="150"/>
      <c r="C2" s="150"/>
      <c r="D2" s="150" t="s">
        <v>42</v>
      </c>
      <c r="E2" s="150"/>
      <c r="F2" s="92"/>
      <c r="H2" s="149">
        <f>'Z-singl'!A3</f>
        <v>0</v>
      </c>
      <c r="I2" s="150"/>
      <c r="J2" s="150"/>
      <c r="K2" s="150" t="s">
        <v>42</v>
      </c>
      <c r="L2" s="150"/>
      <c r="M2" s="92"/>
    </row>
    <row r="3" spans="1:13" ht="36" customHeight="1">
      <c r="A3" s="151" t="str">
        <f>CONCATENATE('Z-singl'!B2," ",'Z-singl'!C2," (",'Z-singl'!D2,")")</f>
        <v>  ()</v>
      </c>
      <c r="B3" s="152"/>
      <c r="C3" s="153"/>
      <c r="D3" s="150" t="str">
        <f>CONCATENATE('Z-singl'!E2," ",'Z-singl'!F2," (",'Z-singl'!G2,")")</f>
        <v>  ()</v>
      </c>
      <c r="E3" s="150"/>
      <c r="F3" s="154"/>
      <c r="G3" s="93"/>
      <c r="H3" s="151" t="str">
        <f>CONCATENATE('Z-singl'!B3," ",'Z-singl'!C3," (",'Z-singl'!D3,")")</f>
        <v>  ()</v>
      </c>
      <c r="I3" s="152"/>
      <c r="J3" s="153"/>
      <c r="K3" s="150" t="str">
        <f>CONCATENATE('Z-singl'!E3," ",'Z-singl'!F3," (",'Z-singl'!G3,")")</f>
        <v>  ()</v>
      </c>
      <c r="L3" s="150"/>
      <c r="M3" s="154"/>
    </row>
    <row r="4" spans="1:13" ht="21.75" customHeight="1">
      <c r="A4" s="143"/>
      <c r="B4" s="144"/>
      <c r="C4" s="144"/>
      <c r="D4" s="144"/>
      <c r="E4" s="144"/>
      <c r="F4" s="145"/>
      <c r="G4" s="94"/>
      <c r="H4" s="143"/>
      <c r="I4" s="144"/>
      <c r="J4" s="144"/>
      <c r="K4" s="144"/>
      <c r="L4" s="144"/>
      <c r="M4" s="145"/>
    </row>
    <row r="5" spans="1:13" ht="12.75">
      <c r="A5" s="95" t="s">
        <v>34</v>
      </c>
      <c r="B5" s="96" t="s">
        <v>35</v>
      </c>
      <c r="C5" s="96" t="s">
        <v>36</v>
      </c>
      <c r="D5" s="96" t="s">
        <v>37</v>
      </c>
      <c r="E5" s="96" t="s">
        <v>38</v>
      </c>
      <c r="F5" s="97" t="s">
        <v>39</v>
      </c>
      <c r="H5" s="95" t="s">
        <v>34</v>
      </c>
      <c r="I5" s="96" t="s">
        <v>35</v>
      </c>
      <c r="J5" s="96" t="s">
        <v>36</v>
      </c>
      <c r="K5" s="96" t="s">
        <v>37</v>
      </c>
      <c r="L5" s="96" t="s">
        <v>38</v>
      </c>
      <c r="M5" s="97" t="s">
        <v>39</v>
      </c>
    </row>
    <row r="6" spans="1:13" ht="36" customHeight="1">
      <c r="A6" s="98"/>
      <c r="B6" s="99"/>
      <c r="C6" s="99"/>
      <c r="D6" s="99"/>
      <c r="E6" s="99"/>
      <c r="F6" s="100"/>
      <c r="H6" s="98"/>
      <c r="I6" s="99"/>
      <c r="J6" s="99"/>
      <c r="K6" s="99"/>
      <c r="L6" s="99"/>
      <c r="M6" s="100"/>
    </row>
    <row r="7" spans="1:13" ht="36" customHeight="1" thickBot="1">
      <c r="A7" s="146" t="s">
        <v>40</v>
      </c>
      <c r="B7" s="147"/>
      <c r="C7" s="147"/>
      <c r="D7" s="147" t="s">
        <v>41</v>
      </c>
      <c r="E7" s="147"/>
      <c r="F7" s="148"/>
      <c r="H7" s="146" t="s">
        <v>40</v>
      </c>
      <c r="I7" s="147"/>
      <c r="J7" s="147"/>
      <c r="K7" s="147" t="s">
        <v>41</v>
      </c>
      <c r="L7" s="147"/>
      <c r="M7" s="148"/>
    </row>
    <row r="8" ht="18" customHeight="1" thickBot="1" thickTop="1"/>
    <row r="9" spans="1:13" ht="37.5" customHeight="1" thickTop="1">
      <c r="A9" s="155" t="str">
        <f>úvod!$C$6</f>
        <v>krajské přebory</v>
      </c>
      <c r="B9" s="156"/>
      <c r="C9" s="156"/>
      <c r="D9" s="156"/>
      <c r="E9" s="156"/>
      <c r="F9" s="157"/>
      <c r="H9" s="155" t="str">
        <f>úvod!$C$6</f>
        <v>krajské přebory</v>
      </c>
      <c r="I9" s="156"/>
      <c r="J9" s="156"/>
      <c r="K9" s="156"/>
      <c r="L9" s="156"/>
      <c r="M9" s="157"/>
    </row>
    <row r="10" spans="1:13" ht="37.5" customHeight="1">
      <c r="A10" s="149">
        <f>'Z-singl'!A10</f>
        <v>0</v>
      </c>
      <c r="B10" s="150"/>
      <c r="C10" s="150"/>
      <c r="D10" s="150" t="s">
        <v>42</v>
      </c>
      <c r="E10" s="150"/>
      <c r="F10" s="92"/>
      <c r="H10" s="149">
        <f>'Z-singl'!A11</f>
        <v>0</v>
      </c>
      <c r="I10" s="150"/>
      <c r="J10" s="150"/>
      <c r="K10" s="150" t="s">
        <v>42</v>
      </c>
      <c r="L10" s="150"/>
      <c r="M10" s="92"/>
    </row>
    <row r="11" spans="1:13" ht="37.5" customHeight="1">
      <c r="A11" s="151" t="str">
        <f>CONCATENATE('Z-singl'!B10," ",'Z-singl'!C10," (",'Z-singl'!D10,")")</f>
        <v>  ()</v>
      </c>
      <c r="B11" s="152"/>
      <c r="C11" s="153"/>
      <c r="D11" s="150" t="str">
        <f>CONCATENATE('Z-singl'!E10," ",'Z-singl'!F10," (",'Z-singl'!G10,")")</f>
        <v>  ()</v>
      </c>
      <c r="E11" s="150"/>
      <c r="F11" s="154"/>
      <c r="H11" s="151" t="str">
        <f>CONCATENATE('Z-singl'!B11," ",'Z-singl'!C11," (",'Z-singl'!D11,")")</f>
        <v>  ()</v>
      </c>
      <c r="I11" s="152"/>
      <c r="J11" s="153"/>
      <c r="K11" s="150" t="str">
        <f>CONCATENATE('Z-singl'!E11," ",'Z-singl'!F11," (",'Z-singl'!G11,")")</f>
        <v>  ()</v>
      </c>
      <c r="L11" s="150"/>
      <c r="M11" s="154"/>
    </row>
    <row r="12" spans="1:13" ht="21.75" customHeight="1">
      <c r="A12" s="143"/>
      <c r="B12" s="144"/>
      <c r="C12" s="144"/>
      <c r="D12" s="144"/>
      <c r="E12" s="144"/>
      <c r="F12" s="145"/>
      <c r="G12" s="94"/>
      <c r="H12" s="143"/>
      <c r="I12" s="144"/>
      <c r="J12" s="144"/>
      <c r="K12" s="144"/>
      <c r="L12" s="144"/>
      <c r="M12" s="145"/>
    </row>
    <row r="13" spans="1:13" ht="12.75">
      <c r="A13" s="95" t="s">
        <v>34</v>
      </c>
      <c r="B13" s="96" t="s">
        <v>35</v>
      </c>
      <c r="C13" s="96" t="s">
        <v>36</v>
      </c>
      <c r="D13" s="96" t="s">
        <v>37</v>
      </c>
      <c r="E13" s="96" t="s">
        <v>38</v>
      </c>
      <c r="F13" s="97" t="s">
        <v>39</v>
      </c>
      <c r="H13" s="95" t="s">
        <v>34</v>
      </c>
      <c r="I13" s="96" t="s">
        <v>35</v>
      </c>
      <c r="J13" s="96" t="s">
        <v>36</v>
      </c>
      <c r="K13" s="96" t="s">
        <v>37</v>
      </c>
      <c r="L13" s="96" t="s">
        <v>38</v>
      </c>
      <c r="M13" s="97" t="s">
        <v>39</v>
      </c>
    </row>
    <row r="14" spans="1:13" ht="36" customHeight="1">
      <c r="A14" s="98"/>
      <c r="B14" s="99"/>
      <c r="C14" s="99"/>
      <c r="D14" s="99"/>
      <c r="E14" s="99"/>
      <c r="F14" s="100"/>
      <c r="H14" s="98"/>
      <c r="I14" s="99"/>
      <c r="J14" s="99"/>
      <c r="K14" s="99"/>
      <c r="L14" s="99"/>
      <c r="M14" s="100"/>
    </row>
    <row r="15" spans="1:13" ht="36" customHeight="1" thickBot="1">
      <c r="A15" s="146" t="s">
        <v>40</v>
      </c>
      <c r="B15" s="147"/>
      <c r="C15" s="147"/>
      <c r="D15" s="147" t="s">
        <v>41</v>
      </c>
      <c r="E15" s="147"/>
      <c r="F15" s="148"/>
      <c r="H15" s="146" t="s">
        <v>40</v>
      </c>
      <c r="I15" s="147"/>
      <c r="J15" s="147"/>
      <c r="K15" s="147" t="s">
        <v>41</v>
      </c>
      <c r="L15" s="147"/>
      <c r="M15" s="148"/>
    </row>
    <row r="16" ht="18.75" customHeight="1" thickBot="1" thickTop="1"/>
    <row r="17" spans="1:13" ht="37.5" customHeight="1" thickTop="1">
      <c r="A17" s="155" t="str">
        <f>úvod!$C$6</f>
        <v>krajské přebory</v>
      </c>
      <c r="B17" s="156"/>
      <c r="C17" s="156"/>
      <c r="D17" s="156"/>
      <c r="E17" s="156"/>
      <c r="F17" s="157"/>
      <c r="H17" s="155" t="str">
        <f>úvod!$C$6</f>
        <v>krajské přebory</v>
      </c>
      <c r="I17" s="156"/>
      <c r="J17" s="156"/>
      <c r="K17" s="156"/>
      <c r="L17" s="156"/>
      <c r="M17" s="157"/>
    </row>
    <row r="18" spans="1:13" ht="37.5" customHeight="1">
      <c r="A18" s="149">
        <f>'Z-singl'!A18</f>
        <v>0</v>
      </c>
      <c r="B18" s="150"/>
      <c r="C18" s="150"/>
      <c r="D18" s="150" t="s">
        <v>42</v>
      </c>
      <c r="E18" s="150"/>
      <c r="F18" s="92"/>
      <c r="H18" s="149">
        <f>'Z-singl'!A19</f>
        <v>0</v>
      </c>
      <c r="I18" s="150"/>
      <c r="J18" s="150"/>
      <c r="K18" s="150" t="s">
        <v>42</v>
      </c>
      <c r="L18" s="150"/>
      <c r="M18" s="92"/>
    </row>
    <row r="19" spans="1:13" ht="37.5" customHeight="1">
      <c r="A19" s="151" t="str">
        <f>CONCATENATE('Z-singl'!B18," ",'Z-singl'!C18," (",'Z-singl'!D18,")")</f>
        <v>  ()</v>
      </c>
      <c r="B19" s="152"/>
      <c r="C19" s="153"/>
      <c r="D19" s="150" t="str">
        <f>CONCATENATE('Z-singl'!E18," ",'Z-singl'!F18," (",'Z-singl'!G18,")")</f>
        <v>  ()</v>
      </c>
      <c r="E19" s="150"/>
      <c r="F19" s="154"/>
      <c r="H19" s="151" t="str">
        <f>CONCATENATE('Z-singl'!B19," ",'Z-singl'!C19," (",'Z-singl'!D19,")")</f>
        <v>  ()</v>
      </c>
      <c r="I19" s="152"/>
      <c r="J19" s="153"/>
      <c r="K19" s="150" t="str">
        <f>CONCATENATE('Z-singl'!E19," ",'Z-singl'!F19," (",'Z-singl'!G19,")")</f>
        <v>  ()</v>
      </c>
      <c r="L19" s="150"/>
      <c r="M19" s="154"/>
    </row>
    <row r="20" spans="1:13" ht="20.25" customHeight="1">
      <c r="A20" s="143"/>
      <c r="B20" s="144"/>
      <c r="C20" s="144"/>
      <c r="D20" s="144"/>
      <c r="E20" s="144"/>
      <c r="F20" s="145"/>
      <c r="G20" s="94"/>
      <c r="H20" s="143"/>
      <c r="I20" s="144"/>
      <c r="J20" s="144"/>
      <c r="K20" s="144"/>
      <c r="L20" s="144"/>
      <c r="M20" s="145"/>
    </row>
    <row r="21" spans="1:13" ht="12.75">
      <c r="A21" s="95" t="s">
        <v>34</v>
      </c>
      <c r="B21" s="96" t="s">
        <v>35</v>
      </c>
      <c r="C21" s="96" t="s">
        <v>36</v>
      </c>
      <c r="D21" s="96" t="s">
        <v>37</v>
      </c>
      <c r="E21" s="96" t="s">
        <v>38</v>
      </c>
      <c r="F21" s="97" t="s">
        <v>39</v>
      </c>
      <c r="H21" s="95" t="s">
        <v>34</v>
      </c>
      <c r="I21" s="96" t="s">
        <v>35</v>
      </c>
      <c r="J21" s="96" t="s">
        <v>36</v>
      </c>
      <c r="K21" s="96" t="s">
        <v>37</v>
      </c>
      <c r="L21" s="96" t="s">
        <v>38</v>
      </c>
      <c r="M21" s="97" t="s">
        <v>39</v>
      </c>
    </row>
    <row r="22" spans="1:13" ht="36" customHeight="1">
      <c r="A22" s="98"/>
      <c r="B22" s="99"/>
      <c r="C22" s="99"/>
      <c r="D22" s="99"/>
      <c r="E22" s="99"/>
      <c r="F22" s="100"/>
      <c r="H22" s="98"/>
      <c r="I22" s="99"/>
      <c r="J22" s="99"/>
      <c r="K22" s="99"/>
      <c r="L22" s="99"/>
      <c r="M22" s="100"/>
    </row>
    <row r="23" spans="1:13" ht="36" customHeight="1" thickBot="1">
      <c r="A23" s="146" t="s">
        <v>40</v>
      </c>
      <c r="B23" s="147"/>
      <c r="C23" s="147"/>
      <c r="D23" s="147" t="s">
        <v>41</v>
      </c>
      <c r="E23" s="147"/>
      <c r="F23" s="148"/>
      <c r="H23" s="146" t="s">
        <v>40</v>
      </c>
      <c r="I23" s="147"/>
      <c r="J23" s="147"/>
      <c r="K23" s="147" t="s">
        <v>41</v>
      </c>
      <c r="L23" s="147"/>
      <c r="M23" s="148"/>
    </row>
    <row r="24" ht="12" customHeight="1" thickBot="1" thickTop="1"/>
    <row r="25" spans="1:13" ht="37.5" customHeight="1" thickTop="1">
      <c r="A25" s="155" t="str">
        <f>úvod!$C$6</f>
        <v>krajské přebory</v>
      </c>
      <c r="B25" s="156"/>
      <c r="C25" s="156"/>
      <c r="D25" s="156"/>
      <c r="E25" s="156"/>
      <c r="F25" s="157"/>
      <c r="H25" s="155" t="str">
        <f>úvod!$C$6</f>
        <v>krajské přebory</v>
      </c>
      <c r="I25" s="156"/>
      <c r="J25" s="156"/>
      <c r="K25" s="156"/>
      <c r="L25" s="156"/>
      <c r="M25" s="157"/>
    </row>
    <row r="26" spans="1:13" ht="37.5" customHeight="1">
      <c r="A26" s="149">
        <f>'Z-singl'!A26</f>
        <v>0</v>
      </c>
      <c r="B26" s="150"/>
      <c r="C26" s="150"/>
      <c r="D26" s="150" t="s">
        <v>42</v>
      </c>
      <c r="E26" s="150"/>
      <c r="F26" s="92"/>
      <c r="H26" s="149">
        <f>'Z-singl'!A27</f>
        <v>0</v>
      </c>
      <c r="I26" s="150"/>
      <c r="J26" s="150"/>
      <c r="K26" s="150" t="s">
        <v>42</v>
      </c>
      <c r="L26" s="150"/>
      <c r="M26" s="92"/>
    </row>
    <row r="27" spans="1:13" ht="37.5" customHeight="1">
      <c r="A27" s="151" t="str">
        <f>CONCATENATE('Z-singl'!B26," ",'Z-singl'!C26," (",'Z-singl'!D26,")")</f>
        <v>  ()</v>
      </c>
      <c r="B27" s="152"/>
      <c r="C27" s="153"/>
      <c r="D27" s="150" t="str">
        <f>CONCATENATE('Z-singl'!E26," ",'Z-singl'!F26," (",'Z-singl'!G26,")")</f>
        <v>  ()</v>
      </c>
      <c r="E27" s="150"/>
      <c r="F27" s="154"/>
      <c r="H27" s="151" t="str">
        <f>CONCATENATE('Z-singl'!B27," ",'Z-singl'!C27," (",'Z-singl'!D27,")")</f>
        <v>  ()</v>
      </c>
      <c r="I27" s="152"/>
      <c r="J27" s="153"/>
      <c r="K27" s="150" t="str">
        <f>CONCATENATE('Z-singl'!E27," ",'Z-singl'!F27," (",'Z-singl'!G27,")")</f>
        <v>  ()</v>
      </c>
      <c r="L27" s="150"/>
      <c r="M27" s="154"/>
    </row>
    <row r="28" spans="1:13" ht="21.75" customHeight="1">
      <c r="A28" s="143"/>
      <c r="B28" s="144"/>
      <c r="C28" s="144"/>
      <c r="D28" s="144"/>
      <c r="E28" s="144"/>
      <c r="F28" s="145"/>
      <c r="G28" s="94"/>
      <c r="H28" s="143"/>
      <c r="I28" s="144"/>
      <c r="J28" s="144"/>
      <c r="K28" s="144"/>
      <c r="L28" s="144"/>
      <c r="M28" s="145"/>
    </row>
    <row r="29" spans="1:13" ht="12.75">
      <c r="A29" s="95" t="s">
        <v>34</v>
      </c>
      <c r="B29" s="96" t="s">
        <v>35</v>
      </c>
      <c r="C29" s="96" t="s">
        <v>36</v>
      </c>
      <c r="D29" s="96" t="s">
        <v>37</v>
      </c>
      <c r="E29" s="96" t="s">
        <v>38</v>
      </c>
      <c r="F29" s="97" t="s">
        <v>39</v>
      </c>
      <c r="H29" s="95" t="s">
        <v>34</v>
      </c>
      <c r="I29" s="96" t="s">
        <v>35</v>
      </c>
      <c r="J29" s="96" t="s">
        <v>36</v>
      </c>
      <c r="K29" s="96" t="s">
        <v>37</v>
      </c>
      <c r="L29" s="96" t="s">
        <v>38</v>
      </c>
      <c r="M29" s="97" t="s">
        <v>39</v>
      </c>
    </row>
    <row r="30" spans="1:13" ht="36" customHeight="1">
      <c r="A30" s="98"/>
      <c r="B30" s="99"/>
      <c r="C30" s="99"/>
      <c r="D30" s="99"/>
      <c r="E30" s="99"/>
      <c r="F30" s="100"/>
      <c r="H30" s="98"/>
      <c r="I30" s="99"/>
      <c r="J30" s="99"/>
      <c r="K30" s="99"/>
      <c r="L30" s="99"/>
      <c r="M30" s="100"/>
    </row>
    <row r="31" spans="1:13" ht="36" customHeight="1" thickBot="1">
      <c r="A31" s="146" t="s">
        <v>40</v>
      </c>
      <c r="B31" s="147"/>
      <c r="C31" s="147"/>
      <c r="D31" s="147" t="s">
        <v>41</v>
      </c>
      <c r="E31" s="147"/>
      <c r="F31" s="148"/>
      <c r="H31" s="146" t="s">
        <v>40</v>
      </c>
      <c r="I31" s="147"/>
      <c r="J31" s="147"/>
      <c r="K31" s="147" t="s">
        <v>41</v>
      </c>
      <c r="L31" s="147"/>
      <c r="M31" s="148"/>
    </row>
    <row r="32" ht="14.25" thickBot="1" thickTop="1"/>
    <row r="33" spans="1:13" ht="37.5" customHeight="1" thickTop="1">
      <c r="A33" s="155" t="str">
        <f>úvod!$C$6</f>
        <v>krajské přebory</v>
      </c>
      <c r="B33" s="156"/>
      <c r="C33" s="156"/>
      <c r="D33" s="156"/>
      <c r="E33" s="156"/>
      <c r="F33" s="157"/>
      <c r="H33" s="155" t="str">
        <f>úvod!$C$6</f>
        <v>krajské přebory</v>
      </c>
      <c r="I33" s="156"/>
      <c r="J33" s="156"/>
      <c r="K33" s="156"/>
      <c r="L33" s="156"/>
      <c r="M33" s="157"/>
    </row>
    <row r="34" spans="1:13" ht="37.5" customHeight="1">
      <c r="A34" s="149">
        <f>'Z-singl'!A34</f>
        <v>0</v>
      </c>
      <c r="B34" s="150"/>
      <c r="C34" s="150"/>
      <c r="D34" s="150" t="s">
        <v>42</v>
      </c>
      <c r="E34" s="150"/>
      <c r="F34" s="92"/>
      <c r="H34" s="149">
        <f>'Z-singl'!A35</f>
        <v>0</v>
      </c>
      <c r="I34" s="150"/>
      <c r="J34" s="150"/>
      <c r="K34" s="150" t="s">
        <v>42</v>
      </c>
      <c r="L34" s="150"/>
      <c r="M34" s="92"/>
    </row>
    <row r="35" spans="1:13" ht="37.5" customHeight="1">
      <c r="A35" s="151" t="str">
        <f>CONCATENATE('Z-singl'!B34," ",'Z-singl'!C34," (",'Z-singl'!D34,")")</f>
        <v>  ()</v>
      </c>
      <c r="B35" s="152"/>
      <c r="C35" s="153"/>
      <c r="D35" s="150" t="str">
        <f>CONCATENATE('Z-singl'!E34," ",'Z-singl'!F34," (",'Z-singl'!G34,")")</f>
        <v>  ()</v>
      </c>
      <c r="E35" s="150"/>
      <c r="F35" s="154"/>
      <c r="H35" s="151" t="str">
        <f>CONCATENATE('Z-singl'!B35," ",'Z-singl'!C35," (",'Z-singl'!D35,")")</f>
        <v>  ()</v>
      </c>
      <c r="I35" s="152"/>
      <c r="J35" s="153"/>
      <c r="K35" s="150" t="str">
        <f>CONCATENATE('Z-singl'!E35," ",'Z-singl'!F35," (",'Z-singl'!G35,")")</f>
        <v>  ()</v>
      </c>
      <c r="L35" s="150"/>
      <c r="M35" s="154"/>
    </row>
    <row r="36" spans="1:13" ht="21" customHeight="1">
      <c r="A36" s="143"/>
      <c r="B36" s="144"/>
      <c r="C36" s="144"/>
      <c r="D36" s="144"/>
      <c r="E36" s="144"/>
      <c r="F36" s="145"/>
      <c r="G36" s="94"/>
      <c r="H36" s="143"/>
      <c r="I36" s="144"/>
      <c r="J36" s="144"/>
      <c r="K36" s="144"/>
      <c r="L36" s="144"/>
      <c r="M36" s="145"/>
    </row>
    <row r="37" spans="1:13" ht="12.75">
      <c r="A37" s="95" t="s">
        <v>34</v>
      </c>
      <c r="B37" s="96" t="s">
        <v>35</v>
      </c>
      <c r="C37" s="96" t="s">
        <v>36</v>
      </c>
      <c r="D37" s="96" t="s">
        <v>37</v>
      </c>
      <c r="E37" s="96" t="s">
        <v>38</v>
      </c>
      <c r="F37" s="97" t="s">
        <v>39</v>
      </c>
      <c r="H37" s="95" t="s">
        <v>34</v>
      </c>
      <c r="I37" s="96" t="s">
        <v>35</v>
      </c>
      <c r="J37" s="96" t="s">
        <v>36</v>
      </c>
      <c r="K37" s="96" t="s">
        <v>37</v>
      </c>
      <c r="L37" s="96" t="s">
        <v>38</v>
      </c>
      <c r="M37" s="97" t="s">
        <v>39</v>
      </c>
    </row>
    <row r="38" spans="1:13" ht="36.75" customHeight="1">
      <c r="A38" s="98"/>
      <c r="B38" s="99"/>
      <c r="C38" s="99"/>
      <c r="D38" s="99"/>
      <c r="E38" s="99"/>
      <c r="F38" s="100"/>
      <c r="H38" s="98"/>
      <c r="I38" s="99"/>
      <c r="J38" s="99"/>
      <c r="K38" s="99"/>
      <c r="L38" s="99"/>
      <c r="M38" s="100"/>
    </row>
    <row r="39" spans="1:13" ht="36.75" customHeight="1" thickBot="1">
      <c r="A39" s="146" t="s">
        <v>40</v>
      </c>
      <c r="B39" s="147"/>
      <c r="C39" s="147"/>
      <c r="D39" s="147" t="s">
        <v>41</v>
      </c>
      <c r="E39" s="147"/>
      <c r="F39" s="148"/>
      <c r="H39" s="146" t="s">
        <v>40</v>
      </c>
      <c r="I39" s="147"/>
      <c r="J39" s="147"/>
      <c r="K39" s="147" t="s">
        <v>41</v>
      </c>
      <c r="L39" s="147"/>
      <c r="M39" s="148"/>
    </row>
    <row r="40" ht="14.25" thickBot="1" thickTop="1"/>
    <row r="41" spans="1:13" ht="37.5" customHeight="1" thickTop="1">
      <c r="A41" s="155" t="str">
        <f>úvod!$C$6</f>
        <v>krajské přebory</v>
      </c>
      <c r="B41" s="156"/>
      <c r="C41" s="156"/>
      <c r="D41" s="156"/>
      <c r="E41" s="156"/>
      <c r="F41" s="157"/>
      <c r="H41" s="155" t="str">
        <f>úvod!$C$6</f>
        <v>krajské přebory</v>
      </c>
      <c r="I41" s="156"/>
      <c r="J41" s="156"/>
      <c r="K41" s="156"/>
      <c r="L41" s="156"/>
      <c r="M41" s="157"/>
    </row>
    <row r="42" spans="1:13" ht="37.5" customHeight="1">
      <c r="A42" s="149">
        <f>'Z-singl'!A42</f>
        <v>0</v>
      </c>
      <c r="B42" s="150"/>
      <c r="C42" s="150"/>
      <c r="D42" s="150" t="s">
        <v>42</v>
      </c>
      <c r="E42" s="150"/>
      <c r="F42" s="92"/>
      <c r="H42" s="149">
        <f>'Z-singl'!A43</f>
        <v>0</v>
      </c>
      <c r="I42" s="150"/>
      <c r="J42" s="150"/>
      <c r="K42" s="150" t="s">
        <v>42</v>
      </c>
      <c r="L42" s="150"/>
      <c r="M42" s="92"/>
    </row>
    <row r="43" spans="1:13" ht="37.5" customHeight="1">
      <c r="A43" s="151" t="str">
        <f>CONCATENATE('Z-singl'!B42," ",'Z-singl'!C42," (",'Z-singl'!D42,")")</f>
        <v>  ()</v>
      </c>
      <c r="B43" s="152"/>
      <c r="C43" s="153"/>
      <c r="D43" s="150" t="str">
        <f>CONCATENATE('Z-singl'!E42," ",'Z-singl'!F42," (",'Z-singl'!G42,")")</f>
        <v>  ()</v>
      </c>
      <c r="E43" s="150"/>
      <c r="F43" s="154"/>
      <c r="H43" s="151" t="str">
        <f>CONCATENATE('Z-singl'!B43," ",'Z-singl'!C43," (",'Z-singl'!D43,")")</f>
        <v>  ()</v>
      </c>
      <c r="I43" s="152"/>
      <c r="J43" s="153"/>
      <c r="K43" s="150" t="str">
        <f>CONCATENATE('Z-singl'!E43," ",'Z-singl'!F43," (",'Z-singl'!G43,")")</f>
        <v>  ()</v>
      </c>
      <c r="L43" s="150"/>
      <c r="M43" s="154"/>
    </row>
    <row r="44" spans="1:13" ht="21" customHeight="1">
      <c r="A44" s="143"/>
      <c r="B44" s="144"/>
      <c r="C44" s="144"/>
      <c r="D44" s="144"/>
      <c r="E44" s="144"/>
      <c r="F44" s="145"/>
      <c r="G44" s="94"/>
      <c r="H44" s="143"/>
      <c r="I44" s="144"/>
      <c r="J44" s="144"/>
      <c r="K44" s="144"/>
      <c r="L44" s="144"/>
      <c r="M44" s="145"/>
    </row>
    <row r="45" spans="1:13" ht="12.75">
      <c r="A45" s="95" t="s">
        <v>34</v>
      </c>
      <c r="B45" s="96" t="s">
        <v>35</v>
      </c>
      <c r="C45" s="96" t="s">
        <v>36</v>
      </c>
      <c r="D45" s="96" t="s">
        <v>37</v>
      </c>
      <c r="E45" s="96" t="s">
        <v>38</v>
      </c>
      <c r="F45" s="97" t="s">
        <v>39</v>
      </c>
      <c r="H45" s="95" t="s">
        <v>34</v>
      </c>
      <c r="I45" s="96" t="s">
        <v>35</v>
      </c>
      <c r="J45" s="96" t="s">
        <v>36</v>
      </c>
      <c r="K45" s="96" t="s">
        <v>37</v>
      </c>
      <c r="L45" s="96" t="s">
        <v>38</v>
      </c>
      <c r="M45" s="97" t="s">
        <v>39</v>
      </c>
    </row>
    <row r="46" spans="1:13" ht="36.75" customHeight="1">
      <c r="A46" s="98"/>
      <c r="B46" s="99"/>
      <c r="C46" s="99"/>
      <c r="D46" s="99"/>
      <c r="E46" s="99"/>
      <c r="F46" s="100"/>
      <c r="H46" s="98"/>
      <c r="I46" s="99"/>
      <c r="J46" s="99"/>
      <c r="K46" s="99"/>
      <c r="L46" s="99"/>
      <c r="M46" s="100"/>
    </row>
    <row r="47" spans="1:13" ht="36.75" customHeight="1" thickBot="1">
      <c r="A47" s="146" t="s">
        <v>40</v>
      </c>
      <c r="B47" s="147"/>
      <c r="C47" s="147"/>
      <c r="D47" s="147" t="s">
        <v>41</v>
      </c>
      <c r="E47" s="147"/>
      <c r="F47" s="148"/>
      <c r="H47" s="146" t="s">
        <v>40</v>
      </c>
      <c r="I47" s="147"/>
      <c r="J47" s="147"/>
      <c r="K47" s="147" t="s">
        <v>41</v>
      </c>
      <c r="L47" s="147"/>
      <c r="M47" s="148"/>
    </row>
    <row r="48" ht="13.5" thickTop="1"/>
  </sheetData>
  <sheetProtection/>
  <mergeCells count="96">
    <mergeCell ref="A1:F1"/>
    <mergeCell ref="H1:M1"/>
    <mergeCell ref="A2:C2"/>
    <mergeCell ref="D2:E2"/>
    <mergeCell ref="H2:J2"/>
    <mergeCell ref="K2:L2"/>
    <mergeCell ref="A3:C3"/>
    <mergeCell ref="D3:F3"/>
    <mergeCell ref="H3:J3"/>
    <mergeCell ref="K3:M3"/>
    <mergeCell ref="A4:F4"/>
    <mergeCell ref="H4:M4"/>
    <mergeCell ref="A7:C7"/>
    <mergeCell ref="D7:F7"/>
    <mergeCell ref="H7:J7"/>
    <mergeCell ref="K7:M7"/>
    <mergeCell ref="A9:F9"/>
    <mergeCell ref="H9:M9"/>
    <mergeCell ref="A10:C10"/>
    <mergeCell ref="D10:E10"/>
    <mergeCell ref="H10:J10"/>
    <mergeCell ref="K10:L10"/>
    <mergeCell ref="A11:C11"/>
    <mergeCell ref="D11:F11"/>
    <mergeCell ref="H11:J11"/>
    <mergeCell ref="K11:M11"/>
    <mergeCell ref="A12:F12"/>
    <mergeCell ref="H12:M12"/>
    <mergeCell ref="A15:C15"/>
    <mergeCell ref="D15:F15"/>
    <mergeCell ref="H15:J15"/>
    <mergeCell ref="K15:M15"/>
    <mergeCell ref="A17:F17"/>
    <mergeCell ref="H17:M17"/>
    <mergeCell ref="A18:C18"/>
    <mergeCell ref="D18:E18"/>
    <mergeCell ref="H18:J18"/>
    <mergeCell ref="K18:L18"/>
    <mergeCell ref="A19:C19"/>
    <mergeCell ref="D19:F19"/>
    <mergeCell ref="H19:J19"/>
    <mergeCell ref="K19:M19"/>
    <mergeCell ref="A20:F20"/>
    <mergeCell ref="H20:M20"/>
    <mergeCell ref="A23:C23"/>
    <mergeCell ref="D23:F23"/>
    <mergeCell ref="H23:J23"/>
    <mergeCell ref="K23:M23"/>
    <mergeCell ref="A25:F25"/>
    <mergeCell ref="H25:M25"/>
    <mergeCell ref="A26:C26"/>
    <mergeCell ref="D26:E26"/>
    <mergeCell ref="H26:J26"/>
    <mergeCell ref="K26:L26"/>
    <mergeCell ref="A27:C27"/>
    <mergeCell ref="D27:F27"/>
    <mergeCell ref="H27:J27"/>
    <mergeCell ref="K27:M27"/>
    <mergeCell ref="A28:F28"/>
    <mergeCell ref="H28:M28"/>
    <mergeCell ref="A31:C31"/>
    <mergeCell ref="D31:F31"/>
    <mergeCell ref="H31:J31"/>
    <mergeCell ref="K31:M31"/>
    <mergeCell ref="A33:F33"/>
    <mergeCell ref="H33:M33"/>
    <mergeCell ref="A34:C34"/>
    <mergeCell ref="D34:E34"/>
    <mergeCell ref="H34:J34"/>
    <mergeCell ref="K34:L34"/>
    <mergeCell ref="A35:C35"/>
    <mergeCell ref="D35:F35"/>
    <mergeCell ref="H35:J35"/>
    <mergeCell ref="K35:M35"/>
    <mergeCell ref="A36:F36"/>
    <mergeCell ref="H36:M36"/>
    <mergeCell ref="A39:C39"/>
    <mergeCell ref="D39:F39"/>
    <mergeCell ref="H39:J39"/>
    <mergeCell ref="K39:M39"/>
    <mergeCell ref="A41:F41"/>
    <mergeCell ref="H41:M41"/>
    <mergeCell ref="A42:C42"/>
    <mergeCell ref="D42:E42"/>
    <mergeCell ref="H42:J42"/>
    <mergeCell ref="K42:L42"/>
    <mergeCell ref="A43:C43"/>
    <mergeCell ref="D43:F43"/>
    <mergeCell ref="H43:J43"/>
    <mergeCell ref="K43:M43"/>
    <mergeCell ref="A44:F44"/>
    <mergeCell ref="H44:M44"/>
    <mergeCell ref="A47:C47"/>
    <mergeCell ref="D47:F47"/>
    <mergeCell ref="H47:J47"/>
    <mergeCell ref="K47:M47"/>
  </mergeCells>
  <printOptions horizontalCentered="1" verticalCentered="1"/>
  <pageMargins left="0.3937007874015748" right="0.5905511811023623" top="0.3937007874015748" bottom="0.3937007874015748" header="0.5118110236220472" footer="0.5118110236220472"/>
  <pageSetup horizontalDpi="150" verticalDpi="150" orientation="landscape" paperSize="9" scale="75" r:id="rId1"/>
  <rowBreaks count="1" manualBreakCount="1">
    <brk id="24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4.625" style="0" customWidth="1"/>
    <col min="2" max="2" width="4.875" style="0" bestFit="1" customWidth="1"/>
    <col min="3" max="3" width="15.375" style="0" bestFit="1" customWidth="1"/>
    <col min="4" max="4" width="12.125" style="0" bestFit="1" customWidth="1"/>
    <col min="5" max="5" width="4.875" style="0" bestFit="1" customWidth="1"/>
    <col min="6" max="6" width="13.375" style="0" bestFit="1" customWidth="1"/>
    <col min="7" max="7" width="12.125" style="0" bestFit="1" customWidth="1"/>
    <col min="8" max="8" width="4.875" style="0" bestFit="1" customWidth="1"/>
    <col min="9" max="9" width="13.875" style="0" bestFit="1" customWidth="1"/>
    <col min="10" max="10" width="12.125" style="0" bestFit="1" customWidth="1"/>
    <col min="11" max="11" width="4.875" style="0" bestFit="1" customWidth="1"/>
    <col min="12" max="12" width="13.75390625" style="0" bestFit="1" customWidth="1"/>
    <col min="13" max="13" width="11.875" style="0" bestFit="1" customWidth="1"/>
    <col min="14" max="14" width="7.00390625" style="0" bestFit="1" customWidth="1"/>
    <col min="15" max="15" width="4.875" style="0" bestFit="1" customWidth="1"/>
    <col min="16" max="16" width="4.00390625" style="0" bestFit="1" customWidth="1"/>
  </cols>
  <sheetData>
    <row r="1" spans="1:13" ht="12.75">
      <c r="A1" t="s">
        <v>33</v>
      </c>
      <c r="B1" t="s">
        <v>0</v>
      </c>
      <c r="C1" t="s">
        <v>1</v>
      </c>
      <c r="D1" t="s">
        <v>2</v>
      </c>
      <c r="E1" t="s">
        <v>0</v>
      </c>
      <c r="F1" t="s">
        <v>3</v>
      </c>
      <c r="G1" t="s">
        <v>2</v>
      </c>
      <c r="H1" t="s">
        <v>0</v>
      </c>
      <c r="I1" t="s">
        <v>14</v>
      </c>
      <c r="J1" t="s">
        <v>2</v>
      </c>
      <c r="K1" t="s">
        <v>0</v>
      </c>
      <c r="L1" t="s">
        <v>15</v>
      </c>
      <c r="M1" t="s">
        <v>2</v>
      </c>
    </row>
    <row r="2" spans="1:16" ht="12.75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0"/>
      <c r="O2" s="19" t="s">
        <v>19</v>
      </c>
      <c r="P2" s="19" t="s">
        <v>19</v>
      </c>
    </row>
    <row r="3" spans="1:16" ht="12.75">
      <c r="A3" s="101" t="s">
        <v>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90"/>
      <c r="O3" s="19" t="s">
        <v>19</v>
      </c>
      <c r="P3" s="19" t="s">
        <v>19</v>
      </c>
    </row>
    <row r="4" spans="1:256" ht="12.75">
      <c r="A4" s="101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0"/>
      <c r="O4" s="19" t="s">
        <v>19</v>
      </c>
      <c r="P4" s="19" t="s">
        <v>19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16" ht="12.75">
      <c r="A5" s="101" t="s">
        <v>43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90"/>
      <c r="O5" s="19" t="s">
        <v>19</v>
      </c>
      <c r="P5" s="19" t="s">
        <v>19</v>
      </c>
    </row>
    <row r="6" spans="1:16" ht="12.75">
      <c r="A6" s="101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0"/>
      <c r="O6" s="19" t="s">
        <v>19</v>
      </c>
      <c r="P6" s="19" t="s">
        <v>19</v>
      </c>
    </row>
    <row r="7" spans="1:16" ht="12.75">
      <c r="A7" s="101" t="s">
        <v>43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0"/>
      <c r="O7" s="19" t="s">
        <v>19</v>
      </c>
      <c r="P7" s="19" t="s">
        <v>19</v>
      </c>
    </row>
    <row r="8" spans="1:16" ht="12.75">
      <c r="A8" s="101" t="s">
        <v>43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90"/>
      <c r="O8" s="19" t="s">
        <v>19</v>
      </c>
      <c r="P8" s="19" t="s">
        <v>19</v>
      </c>
    </row>
    <row r="9" spans="1:16" ht="12.75">
      <c r="A9" s="101" t="s">
        <v>43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0"/>
      <c r="O9" s="19" t="s">
        <v>19</v>
      </c>
      <c r="P9" s="19" t="s">
        <v>19</v>
      </c>
    </row>
    <row r="10" spans="1:16" ht="12.75">
      <c r="A10" s="101" t="s">
        <v>43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90"/>
      <c r="O10" s="19" t="s">
        <v>19</v>
      </c>
      <c r="P10" s="19" t="s">
        <v>19</v>
      </c>
    </row>
    <row r="11" spans="1:16" ht="12.75">
      <c r="A11" s="101" t="s">
        <v>43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90"/>
      <c r="O11" s="19" t="s">
        <v>19</v>
      </c>
      <c r="P11" s="19" t="s">
        <v>19</v>
      </c>
    </row>
    <row r="12" spans="1:16" ht="12.75">
      <c r="A12" s="101" t="s">
        <v>43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90"/>
      <c r="O12" s="19" t="s">
        <v>19</v>
      </c>
      <c r="P12" s="19" t="s">
        <v>19</v>
      </c>
    </row>
    <row r="13" spans="1:16" ht="12.75">
      <c r="A13" s="101" t="s">
        <v>43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90"/>
      <c r="O13" s="19" t="s">
        <v>19</v>
      </c>
      <c r="P13" s="19" t="s">
        <v>19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75" zoomScaleNormal="75" zoomScaleSheetLayoutView="75" zoomScalePageLayoutView="0" workbookViewId="0" topLeftCell="A1">
      <selection activeCell="A3" sqref="A3:C3"/>
    </sheetView>
  </sheetViews>
  <sheetFormatPr defaultColWidth="9.00390625" defaultRowHeight="12.75"/>
  <cols>
    <col min="1" max="6" width="13.75390625" style="91" customWidth="1"/>
    <col min="7" max="7" width="3.75390625" style="91" customWidth="1"/>
    <col min="8" max="13" width="13.75390625" style="91" customWidth="1"/>
    <col min="14" max="14" width="2.75390625" style="91" customWidth="1"/>
    <col min="15" max="16384" width="9.125" style="91" customWidth="1"/>
  </cols>
  <sheetData>
    <row r="1" spans="1:13" ht="36" customHeight="1" thickTop="1">
      <c r="A1" s="155" t="str">
        <f>úvod!$C$6</f>
        <v>krajské přebory</v>
      </c>
      <c r="B1" s="156"/>
      <c r="C1" s="156"/>
      <c r="D1" s="156"/>
      <c r="E1" s="156"/>
      <c r="F1" s="157"/>
      <c r="H1" s="155" t="str">
        <f>úvod!$C$6</f>
        <v>krajské přebory</v>
      </c>
      <c r="I1" s="156"/>
      <c r="J1" s="156"/>
      <c r="K1" s="156"/>
      <c r="L1" s="156"/>
      <c r="M1" s="157"/>
    </row>
    <row r="2" spans="1:13" ht="36" customHeight="1">
      <c r="A2" s="149" t="str">
        <f>'Z-debl'!A2</f>
        <v>Čtyřhra</v>
      </c>
      <c r="B2" s="150"/>
      <c r="C2" s="150"/>
      <c r="D2" s="150" t="s">
        <v>42</v>
      </c>
      <c r="E2" s="150"/>
      <c r="F2" s="92"/>
      <c r="H2" s="149" t="str">
        <f>'Z-debl'!A3</f>
        <v>Čtyřhra</v>
      </c>
      <c r="I2" s="150"/>
      <c r="J2" s="150"/>
      <c r="K2" s="150" t="s">
        <v>42</v>
      </c>
      <c r="L2" s="150"/>
      <c r="M2" s="92"/>
    </row>
    <row r="3" spans="1:13" ht="18" customHeight="1">
      <c r="A3" s="163" t="str">
        <f>CONCATENATE('Z-debl'!B2," ",'Z-debl'!C2," (",'Z-debl'!D2,")")</f>
        <v>  ()</v>
      </c>
      <c r="B3" s="164"/>
      <c r="C3" s="165"/>
      <c r="D3" s="166" t="str">
        <f>CONCATENATE('Z-debl'!H2," ",'Z-debl'!I2," (",'Z-debl'!J2,")")</f>
        <v>  ()</v>
      </c>
      <c r="E3" s="166"/>
      <c r="F3" s="167"/>
      <c r="G3" s="93"/>
      <c r="H3" s="163" t="str">
        <f>CONCATENATE('Z-debl'!B3," ",'Z-debl'!C3," (",'Z-debl'!D3,")")</f>
        <v>  ()</v>
      </c>
      <c r="I3" s="164"/>
      <c r="J3" s="165"/>
      <c r="K3" s="166" t="str">
        <f>CONCATENATE('Z-debl'!H3," ",'Z-debl'!I3," (",'Z-debl'!J3,")")</f>
        <v>  ()</v>
      </c>
      <c r="L3" s="166"/>
      <c r="M3" s="167"/>
    </row>
    <row r="4" spans="1:13" ht="18" customHeight="1">
      <c r="A4" s="158" t="str">
        <f>CONCATENATE('Z-debl'!E2," ",'Z-debl'!F2," (",'Z-debl'!G2,")")</f>
        <v>  ()</v>
      </c>
      <c r="B4" s="159"/>
      <c r="C4" s="160"/>
      <c r="D4" s="161" t="str">
        <f>CONCATENATE('Z-debl'!K2," ",'Z-debl'!L2," (",'Z-debl'!M2,")")</f>
        <v>  ()</v>
      </c>
      <c r="E4" s="161"/>
      <c r="F4" s="162"/>
      <c r="G4" s="93"/>
      <c r="H4" s="158" t="str">
        <f>CONCATENATE('Z-debl'!E3," ",'Z-debl'!F3," (",'Z-debl'!G3,")")</f>
        <v>  ()</v>
      </c>
      <c r="I4" s="159"/>
      <c r="J4" s="160"/>
      <c r="K4" s="161" t="str">
        <f>CONCATENATE('Z-debl'!K3," ",'Z-debl'!L3," (",'Z-debl'!M3,")")</f>
        <v>  ()</v>
      </c>
      <c r="L4" s="161"/>
      <c r="M4" s="162"/>
    </row>
    <row r="5" spans="1:13" ht="21.75" customHeight="1">
      <c r="A5" s="143"/>
      <c r="B5" s="144"/>
      <c r="C5" s="144"/>
      <c r="D5" s="144"/>
      <c r="E5" s="144"/>
      <c r="F5" s="145"/>
      <c r="G5" s="94"/>
      <c r="H5" s="143"/>
      <c r="I5" s="144"/>
      <c r="J5" s="144"/>
      <c r="K5" s="144"/>
      <c r="L5" s="144"/>
      <c r="M5" s="145"/>
    </row>
    <row r="6" spans="1:13" ht="12.75">
      <c r="A6" s="95" t="s">
        <v>34</v>
      </c>
      <c r="B6" s="96" t="s">
        <v>35</v>
      </c>
      <c r="C6" s="96" t="s">
        <v>36</v>
      </c>
      <c r="D6" s="96" t="s">
        <v>37</v>
      </c>
      <c r="E6" s="96" t="s">
        <v>38</v>
      </c>
      <c r="F6" s="97" t="s">
        <v>39</v>
      </c>
      <c r="H6" s="95" t="s">
        <v>34</v>
      </c>
      <c r="I6" s="96" t="s">
        <v>35</v>
      </c>
      <c r="J6" s="96" t="s">
        <v>36</v>
      </c>
      <c r="K6" s="96" t="s">
        <v>37</v>
      </c>
      <c r="L6" s="96" t="s">
        <v>38</v>
      </c>
      <c r="M6" s="97" t="s">
        <v>39</v>
      </c>
    </row>
    <row r="7" spans="1:13" ht="36" customHeight="1">
      <c r="A7" s="98"/>
      <c r="B7" s="99"/>
      <c r="C7" s="99"/>
      <c r="D7" s="99"/>
      <c r="E7" s="99"/>
      <c r="F7" s="100"/>
      <c r="H7" s="98"/>
      <c r="I7" s="99"/>
      <c r="J7" s="99"/>
      <c r="K7" s="99"/>
      <c r="L7" s="99"/>
      <c r="M7" s="100"/>
    </row>
    <row r="8" spans="1:13" ht="36" customHeight="1" thickBot="1">
      <c r="A8" s="146" t="s">
        <v>40</v>
      </c>
      <c r="B8" s="147"/>
      <c r="C8" s="147"/>
      <c r="D8" s="147" t="s">
        <v>41</v>
      </c>
      <c r="E8" s="147"/>
      <c r="F8" s="148"/>
      <c r="H8" s="146" t="s">
        <v>40</v>
      </c>
      <c r="I8" s="147"/>
      <c r="J8" s="147"/>
      <c r="K8" s="147" t="s">
        <v>41</v>
      </c>
      <c r="L8" s="147"/>
      <c r="M8" s="148"/>
    </row>
    <row r="9" ht="18" customHeight="1" thickBot="1" thickTop="1"/>
    <row r="10" spans="1:13" ht="37.5" customHeight="1" thickTop="1">
      <c r="A10" s="155" t="str">
        <f>úvod!$C$6</f>
        <v>krajské přebory</v>
      </c>
      <c r="B10" s="156"/>
      <c r="C10" s="156"/>
      <c r="D10" s="156"/>
      <c r="E10" s="156"/>
      <c r="F10" s="157"/>
      <c r="H10" s="155" t="str">
        <f>úvod!$C$6</f>
        <v>krajské přebory</v>
      </c>
      <c r="I10" s="156"/>
      <c r="J10" s="156"/>
      <c r="K10" s="156"/>
      <c r="L10" s="156"/>
      <c r="M10" s="157"/>
    </row>
    <row r="11" spans="1:13" ht="37.5" customHeight="1">
      <c r="A11" s="149" t="str">
        <f>'Z-debl'!A4</f>
        <v>Čtyřhra</v>
      </c>
      <c r="B11" s="150"/>
      <c r="C11" s="150"/>
      <c r="D11" s="150" t="s">
        <v>42</v>
      </c>
      <c r="E11" s="150"/>
      <c r="F11" s="92"/>
      <c r="H11" s="149" t="str">
        <f>'Z-debl'!A5</f>
        <v>Čtyřhra</v>
      </c>
      <c r="I11" s="150"/>
      <c r="J11" s="150"/>
      <c r="K11" s="150" t="s">
        <v>42</v>
      </c>
      <c r="L11" s="150"/>
      <c r="M11" s="92"/>
    </row>
    <row r="12" spans="1:13" ht="18" customHeight="1">
      <c r="A12" s="163" t="str">
        <f>CONCATENATE('Z-debl'!B4," ",'Z-debl'!C4," (",'Z-debl'!D4,")")</f>
        <v>  ()</v>
      </c>
      <c r="B12" s="164"/>
      <c r="C12" s="165"/>
      <c r="D12" s="166" t="str">
        <f>CONCATENATE('Z-debl'!H4," ",'Z-debl'!I4," (",'Z-debl'!J4,")")</f>
        <v>  ()</v>
      </c>
      <c r="E12" s="166"/>
      <c r="F12" s="167"/>
      <c r="G12" s="93"/>
      <c r="H12" s="163" t="str">
        <f>CONCATENATE('Z-debl'!B5," ",'Z-debl'!C5," (",'Z-debl'!D5,")")</f>
        <v>  ()</v>
      </c>
      <c r="I12" s="164"/>
      <c r="J12" s="165"/>
      <c r="K12" s="166" t="str">
        <f>CONCATENATE('Z-debl'!H5," ",'Z-debl'!I5," (",'Z-debl'!J5,")")</f>
        <v>  ()</v>
      </c>
      <c r="L12" s="166"/>
      <c r="M12" s="167"/>
    </row>
    <row r="13" spans="1:13" ht="18" customHeight="1">
      <c r="A13" s="158" t="str">
        <f>CONCATENATE('Z-debl'!E4," ",'Z-debl'!F4," (",'Z-debl'!G4,")")</f>
        <v>  ()</v>
      </c>
      <c r="B13" s="159"/>
      <c r="C13" s="160"/>
      <c r="D13" s="161" t="str">
        <f>CONCATENATE('Z-debl'!K4," ",'Z-debl'!L4," (",'Z-debl'!M4,")")</f>
        <v>  ()</v>
      </c>
      <c r="E13" s="161"/>
      <c r="F13" s="162"/>
      <c r="G13" s="93"/>
      <c r="H13" s="158" t="str">
        <f>CONCATENATE('Z-debl'!E5," ",'Z-debl'!F5," (",'Z-debl'!G5,")")</f>
        <v>  ()</v>
      </c>
      <c r="I13" s="159"/>
      <c r="J13" s="160"/>
      <c r="K13" s="161" t="str">
        <f>CONCATENATE('Z-debl'!K5," ",'Z-debl'!L5," (",'Z-debl'!M5,")")</f>
        <v>  ()</v>
      </c>
      <c r="L13" s="161"/>
      <c r="M13" s="162"/>
    </row>
    <row r="14" spans="1:13" ht="21.75" customHeight="1">
      <c r="A14" s="143"/>
      <c r="B14" s="144"/>
      <c r="C14" s="144"/>
      <c r="D14" s="144"/>
      <c r="E14" s="144"/>
      <c r="F14" s="145"/>
      <c r="H14" s="143"/>
      <c r="I14" s="144"/>
      <c r="J14" s="144"/>
      <c r="K14" s="144"/>
      <c r="L14" s="144"/>
      <c r="M14" s="145"/>
    </row>
    <row r="15" spans="1:13" ht="12.75">
      <c r="A15" s="95" t="s">
        <v>34</v>
      </c>
      <c r="B15" s="96" t="s">
        <v>35</v>
      </c>
      <c r="C15" s="96" t="s">
        <v>36</v>
      </c>
      <c r="D15" s="96" t="s">
        <v>37</v>
      </c>
      <c r="E15" s="96" t="s">
        <v>38</v>
      </c>
      <c r="F15" s="97" t="s">
        <v>39</v>
      </c>
      <c r="H15" s="95" t="s">
        <v>34</v>
      </c>
      <c r="I15" s="96" t="s">
        <v>35</v>
      </c>
      <c r="J15" s="96" t="s">
        <v>36</v>
      </c>
      <c r="K15" s="96" t="s">
        <v>37</v>
      </c>
      <c r="L15" s="96" t="s">
        <v>38</v>
      </c>
      <c r="M15" s="97" t="s">
        <v>39</v>
      </c>
    </row>
    <row r="16" spans="1:13" ht="36" customHeight="1">
      <c r="A16" s="98"/>
      <c r="B16" s="99"/>
      <c r="C16" s="99"/>
      <c r="D16" s="99"/>
      <c r="E16" s="99"/>
      <c r="F16" s="100"/>
      <c r="H16" s="98"/>
      <c r="I16" s="99"/>
      <c r="J16" s="99"/>
      <c r="K16" s="99"/>
      <c r="L16" s="99"/>
      <c r="M16" s="100"/>
    </row>
    <row r="17" spans="1:13" ht="36" customHeight="1" thickBot="1">
      <c r="A17" s="146" t="s">
        <v>40</v>
      </c>
      <c r="B17" s="147"/>
      <c r="C17" s="147"/>
      <c r="D17" s="147" t="s">
        <v>41</v>
      </c>
      <c r="E17" s="147"/>
      <c r="F17" s="148"/>
      <c r="H17" s="146" t="s">
        <v>40</v>
      </c>
      <c r="I17" s="147"/>
      <c r="J17" s="147"/>
      <c r="K17" s="147" t="s">
        <v>41</v>
      </c>
      <c r="L17" s="147"/>
      <c r="M17" s="148"/>
    </row>
    <row r="18" ht="18.75" customHeight="1" thickBot="1" thickTop="1"/>
    <row r="19" spans="1:13" ht="37.5" customHeight="1" thickTop="1">
      <c r="A19" s="155" t="str">
        <f>úvod!$C$6</f>
        <v>krajské přebory</v>
      </c>
      <c r="B19" s="156"/>
      <c r="C19" s="156"/>
      <c r="D19" s="156"/>
      <c r="E19" s="156"/>
      <c r="F19" s="157"/>
      <c r="H19" s="155" t="str">
        <f>úvod!$C$6</f>
        <v>krajské přebory</v>
      </c>
      <c r="I19" s="156"/>
      <c r="J19" s="156"/>
      <c r="K19" s="156"/>
      <c r="L19" s="156"/>
      <c r="M19" s="157"/>
    </row>
    <row r="20" spans="1:13" ht="37.5" customHeight="1">
      <c r="A20" s="149" t="str">
        <f>'Z-debl'!A6</f>
        <v>Čtyřhra</v>
      </c>
      <c r="B20" s="150"/>
      <c r="C20" s="150"/>
      <c r="D20" s="150" t="s">
        <v>42</v>
      </c>
      <c r="E20" s="150"/>
      <c r="F20" s="92"/>
      <c r="H20" s="149" t="str">
        <f>'Z-debl'!A7</f>
        <v>Čtyřhra</v>
      </c>
      <c r="I20" s="150"/>
      <c r="J20" s="150"/>
      <c r="K20" s="150" t="s">
        <v>42</v>
      </c>
      <c r="L20" s="150"/>
      <c r="M20" s="92"/>
    </row>
    <row r="21" spans="1:13" ht="18" customHeight="1">
      <c r="A21" s="163" t="str">
        <f>CONCATENATE('Z-debl'!B6," ",'Z-debl'!C6," (",'Z-debl'!D6,")")</f>
        <v>  ()</v>
      </c>
      <c r="B21" s="164"/>
      <c r="C21" s="165"/>
      <c r="D21" s="166" t="str">
        <f>CONCATENATE('Z-debl'!H6," ",'Z-debl'!I6," (",'Z-debl'!J6,")")</f>
        <v>  ()</v>
      </c>
      <c r="E21" s="166"/>
      <c r="F21" s="167"/>
      <c r="G21" s="93"/>
      <c r="H21" s="163" t="str">
        <f>CONCATENATE('Z-debl'!B7," ",'Z-debl'!C7," (",'Z-debl'!D7,")")</f>
        <v>  ()</v>
      </c>
      <c r="I21" s="164"/>
      <c r="J21" s="165"/>
      <c r="K21" s="166" t="str">
        <f>CONCATENATE('Z-debl'!H7," ",'Z-debl'!I7," (",'Z-debl'!J7,")")</f>
        <v>  ()</v>
      </c>
      <c r="L21" s="166"/>
      <c r="M21" s="167"/>
    </row>
    <row r="22" spans="1:13" ht="17.25" customHeight="1">
      <c r="A22" s="158" t="str">
        <f>CONCATENATE('Z-debl'!E6," ",'Z-debl'!F6," (",'Z-debl'!G6,")")</f>
        <v>  ()</v>
      </c>
      <c r="B22" s="159"/>
      <c r="C22" s="160"/>
      <c r="D22" s="161" t="str">
        <f>CONCATENATE('Z-debl'!K6," ",'Z-debl'!L6," (",'Z-debl'!M6,")")</f>
        <v>  ()</v>
      </c>
      <c r="E22" s="161"/>
      <c r="F22" s="162"/>
      <c r="G22" s="93"/>
      <c r="H22" s="158" t="str">
        <f>CONCATENATE('Z-debl'!E7," ",'Z-debl'!F7," (",'Z-debl'!G7,")")</f>
        <v>  ()</v>
      </c>
      <c r="I22" s="159"/>
      <c r="J22" s="160"/>
      <c r="K22" s="161" t="str">
        <f>CONCATENATE('Z-debl'!K7," ",'Z-debl'!L7," (",'Z-debl'!M7,")")</f>
        <v>  ()</v>
      </c>
      <c r="L22" s="161"/>
      <c r="M22" s="162"/>
    </row>
    <row r="23" spans="1:13" ht="20.25" customHeight="1">
      <c r="A23" s="143"/>
      <c r="B23" s="144"/>
      <c r="C23" s="144"/>
      <c r="D23" s="144"/>
      <c r="E23" s="144"/>
      <c r="F23" s="145"/>
      <c r="H23" s="143"/>
      <c r="I23" s="144"/>
      <c r="J23" s="144"/>
      <c r="K23" s="144"/>
      <c r="L23" s="144"/>
      <c r="M23" s="145"/>
    </row>
    <row r="24" spans="1:13" ht="12.75">
      <c r="A24" s="95" t="s">
        <v>34</v>
      </c>
      <c r="B24" s="96" t="s">
        <v>35</v>
      </c>
      <c r="C24" s="96" t="s">
        <v>36</v>
      </c>
      <c r="D24" s="96" t="s">
        <v>37</v>
      </c>
      <c r="E24" s="96" t="s">
        <v>38</v>
      </c>
      <c r="F24" s="97" t="s">
        <v>39</v>
      </c>
      <c r="H24" s="95" t="s">
        <v>34</v>
      </c>
      <c r="I24" s="96" t="s">
        <v>35</v>
      </c>
      <c r="J24" s="96" t="s">
        <v>36</v>
      </c>
      <c r="K24" s="96" t="s">
        <v>37</v>
      </c>
      <c r="L24" s="96" t="s">
        <v>38</v>
      </c>
      <c r="M24" s="97" t="s">
        <v>39</v>
      </c>
    </row>
    <row r="25" spans="1:13" ht="36" customHeight="1">
      <c r="A25" s="98"/>
      <c r="B25" s="99"/>
      <c r="C25" s="99"/>
      <c r="D25" s="99"/>
      <c r="E25" s="99"/>
      <c r="F25" s="100"/>
      <c r="H25" s="98"/>
      <c r="I25" s="99"/>
      <c r="J25" s="99"/>
      <c r="K25" s="99"/>
      <c r="L25" s="99"/>
      <c r="M25" s="100"/>
    </row>
    <row r="26" spans="1:13" ht="36" customHeight="1" thickBot="1">
      <c r="A26" s="146" t="s">
        <v>40</v>
      </c>
      <c r="B26" s="147"/>
      <c r="C26" s="147"/>
      <c r="D26" s="147" t="s">
        <v>41</v>
      </c>
      <c r="E26" s="147"/>
      <c r="F26" s="148"/>
      <c r="H26" s="146" t="s">
        <v>40</v>
      </c>
      <c r="I26" s="147"/>
      <c r="J26" s="147"/>
      <c r="K26" s="147" t="s">
        <v>41</v>
      </c>
      <c r="L26" s="147"/>
      <c r="M26" s="148"/>
    </row>
    <row r="27" ht="12" customHeight="1" thickBot="1" thickTop="1"/>
    <row r="28" spans="1:13" ht="37.5" customHeight="1" thickTop="1">
      <c r="A28" s="155" t="str">
        <f>úvod!$C$6</f>
        <v>krajské přebory</v>
      </c>
      <c r="B28" s="156"/>
      <c r="C28" s="156"/>
      <c r="D28" s="156"/>
      <c r="E28" s="156"/>
      <c r="F28" s="157"/>
      <c r="H28" s="155" t="str">
        <f>úvod!$C$6</f>
        <v>krajské přebory</v>
      </c>
      <c r="I28" s="156"/>
      <c r="J28" s="156"/>
      <c r="K28" s="156"/>
      <c r="L28" s="156"/>
      <c r="M28" s="157"/>
    </row>
    <row r="29" spans="1:13" ht="37.5" customHeight="1">
      <c r="A29" s="149" t="str">
        <f>'Z-debl'!A8</f>
        <v>Čtyřhra</v>
      </c>
      <c r="B29" s="150"/>
      <c r="C29" s="150"/>
      <c r="D29" s="150" t="s">
        <v>42</v>
      </c>
      <c r="E29" s="150"/>
      <c r="F29" s="92"/>
      <c r="H29" s="149" t="str">
        <f>'Z-debl'!A9</f>
        <v>Čtyřhra</v>
      </c>
      <c r="I29" s="150"/>
      <c r="J29" s="150"/>
      <c r="K29" s="150" t="s">
        <v>42</v>
      </c>
      <c r="L29" s="150"/>
      <c r="M29" s="92"/>
    </row>
    <row r="30" spans="1:13" ht="17.25" customHeight="1">
      <c r="A30" s="151" t="str">
        <f>CONCATENATE('Z-debl'!B8," ",'Z-debl'!C8," (",'Z-debl'!D8,")")</f>
        <v>  ()</v>
      </c>
      <c r="B30" s="152"/>
      <c r="C30" s="153"/>
      <c r="D30" s="150" t="str">
        <f>CONCATENATE('Z-debl'!H8," ",'Z-debl'!I8," (",'Z-debl'!J8,")")</f>
        <v>  ()</v>
      </c>
      <c r="E30" s="150"/>
      <c r="F30" s="154"/>
      <c r="H30" s="151" t="str">
        <f>CONCATENATE('Z-debl'!B9," ",'Z-debl'!C9," (",'Z-debl'!D9,")")</f>
        <v>  ()</v>
      </c>
      <c r="I30" s="152"/>
      <c r="J30" s="153"/>
      <c r="K30" s="150" t="str">
        <f>CONCATENATE('Z-debl'!H9," ",'Z-debl'!I9," (",'Z-debl'!J9,")")</f>
        <v>  ()</v>
      </c>
      <c r="L30" s="150"/>
      <c r="M30" s="154"/>
    </row>
    <row r="31" spans="1:13" ht="17.25" customHeight="1">
      <c r="A31" s="158" t="str">
        <f>CONCATENATE('Z-debl'!E8," ",'Z-debl'!F8," (",'Z-debl'!G8,")")</f>
        <v>  ()</v>
      </c>
      <c r="B31" s="159"/>
      <c r="C31" s="160"/>
      <c r="D31" s="161" t="str">
        <f>CONCATENATE('Z-debl'!K8," ",'Z-debl'!L8," (",'Z-debl'!M8,")")</f>
        <v>  ()</v>
      </c>
      <c r="E31" s="161"/>
      <c r="F31" s="162"/>
      <c r="G31" s="93"/>
      <c r="H31" s="158" t="str">
        <f>CONCATENATE('Z-debl'!E9," ",'Z-debl'!F9," (",'Z-debl'!G9,")")</f>
        <v>  ()</v>
      </c>
      <c r="I31" s="159"/>
      <c r="J31" s="160"/>
      <c r="K31" s="161" t="str">
        <f>CONCATENATE('Z-debl'!K9," ",'Z-debl'!L9," (",'Z-debl'!M9,")")</f>
        <v>  ()</v>
      </c>
      <c r="L31" s="161"/>
      <c r="M31" s="162"/>
    </row>
    <row r="32" spans="1:13" ht="21.75" customHeight="1">
      <c r="A32" s="143"/>
      <c r="B32" s="144"/>
      <c r="C32" s="144"/>
      <c r="D32" s="144"/>
      <c r="E32" s="144"/>
      <c r="F32" s="145"/>
      <c r="H32" s="143"/>
      <c r="I32" s="144"/>
      <c r="J32" s="144"/>
      <c r="K32" s="144"/>
      <c r="L32" s="144"/>
      <c r="M32" s="145"/>
    </row>
    <row r="33" spans="1:13" ht="12.75">
      <c r="A33" s="95" t="s">
        <v>34</v>
      </c>
      <c r="B33" s="96" t="s">
        <v>35</v>
      </c>
      <c r="C33" s="96" t="s">
        <v>36</v>
      </c>
      <c r="D33" s="96" t="s">
        <v>37</v>
      </c>
      <c r="E33" s="96" t="s">
        <v>38</v>
      </c>
      <c r="F33" s="97" t="s">
        <v>39</v>
      </c>
      <c r="H33" s="95" t="s">
        <v>34</v>
      </c>
      <c r="I33" s="96" t="s">
        <v>35</v>
      </c>
      <c r="J33" s="96" t="s">
        <v>36</v>
      </c>
      <c r="K33" s="96" t="s">
        <v>37</v>
      </c>
      <c r="L33" s="96" t="s">
        <v>38</v>
      </c>
      <c r="M33" s="97" t="s">
        <v>39</v>
      </c>
    </row>
    <row r="34" spans="1:13" ht="36" customHeight="1">
      <c r="A34" s="98"/>
      <c r="B34" s="99"/>
      <c r="C34" s="99"/>
      <c r="D34" s="99"/>
      <c r="E34" s="99"/>
      <c r="F34" s="100"/>
      <c r="H34" s="98"/>
      <c r="I34" s="99"/>
      <c r="J34" s="99"/>
      <c r="K34" s="99"/>
      <c r="L34" s="99"/>
      <c r="M34" s="100"/>
    </row>
    <row r="35" spans="1:13" ht="36" customHeight="1" thickBot="1">
      <c r="A35" s="146" t="s">
        <v>40</v>
      </c>
      <c r="B35" s="147"/>
      <c r="C35" s="147"/>
      <c r="D35" s="147" t="s">
        <v>41</v>
      </c>
      <c r="E35" s="147"/>
      <c r="F35" s="148"/>
      <c r="H35" s="146" t="s">
        <v>40</v>
      </c>
      <c r="I35" s="147"/>
      <c r="J35" s="147"/>
      <c r="K35" s="147" t="s">
        <v>41</v>
      </c>
      <c r="L35" s="147"/>
      <c r="M35" s="148"/>
    </row>
    <row r="36" ht="14.25" thickBot="1" thickTop="1"/>
    <row r="37" spans="1:13" ht="37.5" customHeight="1" thickTop="1">
      <c r="A37" s="155" t="str">
        <f>úvod!$C$6</f>
        <v>krajské přebory</v>
      </c>
      <c r="B37" s="156"/>
      <c r="C37" s="156"/>
      <c r="D37" s="156"/>
      <c r="E37" s="156"/>
      <c r="F37" s="157"/>
      <c r="H37" s="155" t="str">
        <f>úvod!$C$6</f>
        <v>krajské přebory</v>
      </c>
      <c r="I37" s="156"/>
      <c r="J37" s="156"/>
      <c r="K37" s="156"/>
      <c r="L37" s="156"/>
      <c r="M37" s="157"/>
    </row>
    <row r="38" spans="1:13" ht="37.5" customHeight="1">
      <c r="A38" s="149" t="str">
        <f>'Z-debl'!A10</f>
        <v>Čtyřhra</v>
      </c>
      <c r="B38" s="150"/>
      <c r="C38" s="150"/>
      <c r="D38" s="150" t="s">
        <v>42</v>
      </c>
      <c r="E38" s="150"/>
      <c r="F38" s="92"/>
      <c r="H38" s="149" t="str">
        <f>'Z-debl'!A11</f>
        <v>Čtyřhra</v>
      </c>
      <c r="I38" s="150"/>
      <c r="J38" s="150"/>
      <c r="K38" s="150" t="s">
        <v>42</v>
      </c>
      <c r="L38" s="150"/>
      <c r="M38" s="92"/>
    </row>
    <row r="39" spans="1:13" ht="17.25" customHeight="1">
      <c r="A39" s="151" t="str">
        <f>CONCATENATE('Z-debl'!B10," ",'Z-debl'!C10," (",'Z-debl'!D10,")")</f>
        <v>  ()</v>
      </c>
      <c r="B39" s="152"/>
      <c r="C39" s="153"/>
      <c r="D39" s="150" t="str">
        <f>CONCATENATE('Z-debl'!H10," ",'Z-debl'!I10," (",'Z-debl'!J10,")")</f>
        <v>  ()</v>
      </c>
      <c r="E39" s="150"/>
      <c r="F39" s="154"/>
      <c r="H39" s="151" t="str">
        <f>CONCATENATE('Z-debl'!B11," ",'Z-debl'!C11," (",'Z-debl'!D11,")")</f>
        <v>  ()</v>
      </c>
      <c r="I39" s="152"/>
      <c r="J39" s="153"/>
      <c r="K39" s="150" t="str">
        <f>CONCATENATE('Z-debl'!H11," ",'Z-debl'!I11," (",'Z-debl'!J11,")")</f>
        <v>  ()</v>
      </c>
      <c r="L39" s="150"/>
      <c r="M39" s="154"/>
    </row>
    <row r="40" spans="1:13" ht="17.25" customHeight="1">
      <c r="A40" s="158" t="str">
        <f>CONCATENATE('Z-debl'!E10," ",'Z-debl'!F10," (",'Z-debl'!G10,")")</f>
        <v>  ()</v>
      </c>
      <c r="B40" s="159"/>
      <c r="C40" s="160"/>
      <c r="D40" s="161" t="str">
        <f>CONCATENATE('Z-debl'!K10," ",'Z-debl'!L10," (",'Z-debl'!M10,")")</f>
        <v>  ()</v>
      </c>
      <c r="E40" s="161"/>
      <c r="F40" s="162"/>
      <c r="G40" s="93"/>
      <c r="H40" s="158" t="str">
        <f>CONCATENATE('Z-debl'!E11," ",'Z-debl'!F11," (",'Z-debl'!G11,")")</f>
        <v>  ()</v>
      </c>
      <c r="I40" s="159"/>
      <c r="J40" s="160"/>
      <c r="K40" s="161" t="str">
        <f>CONCATENATE('Z-debl'!K11," ",'Z-debl'!L11," (",'Z-debl'!M11,")")</f>
        <v>  ()</v>
      </c>
      <c r="L40" s="161"/>
      <c r="M40" s="162"/>
    </row>
    <row r="41" spans="1:13" ht="21" customHeight="1">
      <c r="A41" s="143"/>
      <c r="B41" s="144"/>
      <c r="C41" s="144"/>
      <c r="D41" s="144"/>
      <c r="E41" s="144"/>
      <c r="F41" s="145"/>
      <c r="H41" s="143"/>
      <c r="I41" s="144"/>
      <c r="J41" s="144"/>
      <c r="K41" s="144"/>
      <c r="L41" s="144"/>
      <c r="M41" s="145"/>
    </row>
    <row r="42" spans="1:13" ht="12.75">
      <c r="A42" s="95" t="s">
        <v>34</v>
      </c>
      <c r="B42" s="96" t="s">
        <v>35</v>
      </c>
      <c r="C42" s="96" t="s">
        <v>36</v>
      </c>
      <c r="D42" s="96" t="s">
        <v>37</v>
      </c>
      <c r="E42" s="96" t="s">
        <v>38</v>
      </c>
      <c r="F42" s="97" t="s">
        <v>39</v>
      </c>
      <c r="H42" s="95" t="s">
        <v>34</v>
      </c>
      <c r="I42" s="96" t="s">
        <v>35</v>
      </c>
      <c r="J42" s="96" t="s">
        <v>36</v>
      </c>
      <c r="K42" s="96" t="s">
        <v>37</v>
      </c>
      <c r="L42" s="96" t="s">
        <v>38</v>
      </c>
      <c r="M42" s="97" t="s">
        <v>39</v>
      </c>
    </row>
    <row r="43" spans="1:13" ht="36.75" customHeight="1">
      <c r="A43" s="98"/>
      <c r="B43" s="99"/>
      <c r="C43" s="99"/>
      <c r="D43" s="99"/>
      <c r="E43" s="99"/>
      <c r="F43" s="100"/>
      <c r="H43" s="98"/>
      <c r="I43" s="99"/>
      <c r="J43" s="99"/>
      <c r="K43" s="99"/>
      <c r="L43" s="99"/>
      <c r="M43" s="100"/>
    </row>
    <row r="44" spans="1:13" ht="36.75" customHeight="1" thickBot="1">
      <c r="A44" s="146" t="s">
        <v>40</v>
      </c>
      <c r="B44" s="147"/>
      <c r="C44" s="147"/>
      <c r="D44" s="147" t="s">
        <v>41</v>
      </c>
      <c r="E44" s="147"/>
      <c r="F44" s="148"/>
      <c r="H44" s="146" t="s">
        <v>40</v>
      </c>
      <c r="I44" s="147"/>
      <c r="J44" s="147"/>
      <c r="K44" s="147" t="s">
        <v>41</v>
      </c>
      <c r="L44" s="147"/>
      <c r="M44" s="148"/>
    </row>
    <row r="45" ht="14.25" thickBot="1" thickTop="1"/>
    <row r="46" spans="1:13" ht="37.5" customHeight="1" thickTop="1">
      <c r="A46" s="155" t="str">
        <f>úvod!$C$6</f>
        <v>krajské přebory</v>
      </c>
      <c r="B46" s="156"/>
      <c r="C46" s="156"/>
      <c r="D46" s="156"/>
      <c r="E46" s="156"/>
      <c r="F46" s="157"/>
      <c r="H46" s="155" t="str">
        <f>úvod!$C$6</f>
        <v>krajské přebory</v>
      </c>
      <c r="I46" s="156"/>
      <c r="J46" s="156"/>
      <c r="K46" s="156"/>
      <c r="L46" s="156"/>
      <c r="M46" s="157"/>
    </row>
    <row r="47" spans="1:13" ht="37.5" customHeight="1">
      <c r="A47" s="149" t="str">
        <f>'Z-debl'!A12</f>
        <v>Čtyřhra</v>
      </c>
      <c r="B47" s="150"/>
      <c r="C47" s="150"/>
      <c r="D47" s="150" t="s">
        <v>42</v>
      </c>
      <c r="E47" s="150"/>
      <c r="F47" s="92"/>
      <c r="H47" s="149" t="str">
        <f>'Z-debl'!A13</f>
        <v>Čtyřhra</v>
      </c>
      <c r="I47" s="150"/>
      <c r="J47" s="150"/>
      <c r="K47" s="150" t="s">
        <v>42</v>
      </c>
      <c r="L47" s="150"/>
      <c r="M47" s="92"/>
    </row>
    <row r="48" spans="1:13" ht="17.25" customHeight="1">
      <c r="A48" s="151" t="str">
        <f>CONCATENATE('Z-debl'!B12," ",'Z-debl'!C12," (",'Z-debl'!D12,")")</f>
        <v>  ()</v>
      </c>
      <c r="B48" s="152"/>
      <c r="C48" s="153"/>
      <c r="D48" s="150" t="str">
        <f>CONCATENATE('Z-debl'!H12," ",'Z-debl'!I12," (",'Z-debl'!J12,")")</f>
        <v>  ()</v>
      </c>
      <c r="E48" s="150"/>
      <c r="F48" s="154"/>
      <c r="H48" s="151" t="str">
        <f>CONCATENATE('Z-debl'!B13," ",'Z-debl'!C13," (",'Z-debl'!D13,")")</f>
        <v>  ()</v>
      </c>
      <c r="I48" s="152"/>
      <c r="J48" s="153"/>
      <c r="K48" s="150" t="str">
        <f>CONCATENATE('Z-debl'!H13," ",'Z-debl'!I13," (",'Z-debl'!J13,")")</f>
        <v>  ()</v>
      </c>
      <c r="L48" s="150"/>
      <c r="M48" s="154"/>
    </row>
    <row r="49" spans="1:13" ht="17.25" customHeight="1">
      <c r="A49" s="158" t="str">
        <f>CONCATENATE('Z-debl'!E12," ",'Z-debl'!F12," (",'Z-debl'!G12,")")</f>
        <v>  ()</v>
      </c>
      <c r="B49" s="159"/>
      <c r="C49" s="160"/>
      <c r="D49" s="161" t="str">
        <f>CONCATENATE('Z-debl'!K12," ",'Z-debl'!L12," (",'Z-debl'!M12,")")</f>
        <v>  ()</v>
      </c>
      <c r="E49" s="161"/>
      <c r="F49" s="162"/>
      <c r="G49" s="93"/>
      <c r="H49" s="158" t="str">
        <f>CONCATENATE('Z-debl'!E13," ",'Z-debl'!F13," (",'Z-debl'!G13,")")</f>
        <v>  ()</v>
      </c>
      <c r="I49" s="159"/>
      <c r="J49" s="160"/>
      <c r="K49" s="161" t="str">
        <f>CONCATENATE('Z-debl'!K13," ",'Z-debl'!L13," (",'Z-debl'!M13,")")</f>
        <v>  ()</v>
      </c>
      <c r="L49" s="161"/>
      <c r="M49" s="162"/>
    </row>
    <row r="50" spans="1:13" ht="21" customHeight="1">
      <c r="A50" s="143"/>
      <c r="B50" s="144"/>
      <c r="C50" s="144"/>
      <c r="D50" s="144"/>
      <c r="E50" s="144"/>
      <c r="F50" s="145"/>
      <c r="H50" s="143"/>
      <c r="I50" s="144"/>
      <c r="J50" s="144"/>
      <c r="K50" s="144"/>
      <c r="L50" s="144"/>
      <c r="M50" s="145"/>
    </row>
    <row r="51" spans="1:13" ht="12.75">
      <c r="A51" s="95" t="s">
        <v>34</v>
      </c>
      <c r="B51" s="96" t="s">
        <v>35</v>
      </c>
      <c r="C51" s="96" t="s">
        <v>36</v>
      </c>
      <c r="D51" s="96" t="s">
        <v>37</v>
      </c>
      <c r="E51" s="96" t="s">
        <v>38</v>
      </c>
      <c r="F51" s="97" t="s">
        <v>39</v>
      </c>
      <c r="H51" s="95" t="s">
        <v>34</v>
      </c>
      <c r="I51" s="96" t="s">
        <v>35</v>
      </c>
      <c r="J51" s="96" t="s">
        <v>36</v>
      </c>
      <c r="K51" s="96" t="s">
        <v>37</v>
      </c>
      <c r="L51" s="96" t="s">
        <v>38</v>
      </c>
      <c r="M51" s="97" t="s">
        <v>39</v>
      </c>
    </row>
    <row r="52" spans="1:13" ht="36.75" customHeight="1">
      <c r="A52" s="98"/>
      <c r="B52" s="99"/>
      <c r="C52" s="99"/>
      <c r="D52" s="99"/>
      <c r="E52" s="99"/>
      <c r="F52" s="100"/>
      <c r="H52" s="98"/>
      <c r="I52" s="99"/>
      <c r="J52" s="99"/>
      <c r="K52" s="99"/>
      <c r="L52" s="99"/>
      <c r="M52" s="100"/>
    </row>
    <row r="53" spans="1:13" ht="36.75" customHeight="1" thickBot="1">
      <c r="A53" s="146" t="s">
        <v>40</v>
      </c>
      <c r="B53" s="147"/>
      <c r="C53" s="147"/>
      <c r="D53" s="147" t="s">
        <v>41</v>
      </c>
      <c r="E53" s="147"/>
      <c r="F53" s="148"/>
      <c r="H53" s="146" t="s">
        <v>40</v>
      </c>
      <c r="I53" s="147"/>
      <c r="J53" s="147"/>
      <c r="K53" s="147" t="s">
        <v>41</v>
      </c>
      <c r="L53" s="147"/>
      <c r="M53" s="148"/>
    </row>
    <row r="54" ht="13.5" thickTop="1"/>
  </sheetData>
  <sheetProtection/>
  <mergeCells count="120">
    <mergeCell ref="A1:F1"/>
    <mergeCell ref="H1:M1"/>
    <mergeCell ref="A2:C2"/>
    <mergeCell ref="D2:E2"/>
    <mergeCell ref="H2:J2"/>
    <mergeCell ref="K2:L2"/>
    <mergeCell ref="A3:C3"/>
    <mergeCell ref="D3:F3"/>
    <mergeCell ref="H3:J3"/>
    <mergeCell ref="K3:M3"/>
    <mergeCell ref="A4:C4"/>
    <mergeCell ref="D4:F4"/>
    <mergeCell ref="H4:J4"/>
    <mergeCell ref="K4:M4"/>
    <mergeCell ref="A5:F5"/>
    <mergeCell ref="H5:M5"/>
    <mergeCell ref="A8:C8"/>
    <mergeCell ref="D8:F8"/>
    <mergeCell ref="H8:J8"/>
    <mergeCell ref="K8:M8"/>
    <mergeCell ref="A10:F10"/>
    <mergeCell ref="H10:M10"/>
    <mergeCell ref="A11:C11"/>
    <mergeCell ref="D11:E11"/>
    <mergeCell ref="H11:J11"/>
    <mergeCell ref="K11:L11"/>
    <mergeCell ref="A12:C12"/>
    <mergeCell ref="D12:F12"/>
    <mergeCell ref="H12:J12"/>
    <mergeCell ref="K12:M12"/>
    <mergeCell ref="A13:C13"/>
    <mergeCell ref="D13:F13"/>
    <mergeCell ref="H13:J13"/>
    <mergeCell ref="K13:M13"/>
    <mergeCell ref="A14:F14"/>
    <mergeCell ref="H14:M14"/>
    <mergeCell ref="A17:C17"/>
    <mergeCell ref="D17:F17"/>
    <mergeCell ref="H17:J17"/>
    <mergeCell ref="K17:M17"/>
    <mergeCell ref="A19:F19"/>
    <mergeCell ref="H19:M19"/>
    <mergeCell ref="A20:C20"/>
    <mergeCell ref="D20:E20"/>
    <mergeCell ref="H20:J20"/>
    <mergeCell ref="K20:L20"/>
    <mergeCell ref="A21:C21"/>
    <mergeCell ref="D21:F21"/>
    <mergeCell ref="H21:J21"/>
    <mergeCell ref="K21:M21"/>
    <mergeCell ref="A22:C22"/>
    <mergeCell ref="D22:F22"/>
    <mergeCell ref="H22:J22"/>
    <mergeCell ref="K22:M22"/>
    <mergeCell ref="A23:F23"/>
    <mergeCell ref="H23:M23"/>
    <mergeCell ref="A26:C26"/>
    <mergeCell ref="D26:F26"/>
    <mergeCell ref="H26:J26"/>
    <mergeCell ref="K26:M26"/>
    <mergeCell ref="A28:F28"/>
    <mergeCell ref="H28:M28"/>
    <mergeCell ref="A29:C29"/>
    <mergeCell ref="D29:E29"/>
    <mergeCell ref="H29:J29"/>
    <mergeCell ref="K29:L29"/>
    <mergeCell ref="A30:C30"/>
    <mergeCell ref="D30:F30"/>
    <mergeCell ref="H30:J30"/>
    <mergeCell ref="K30:M30"/>
    <mergeCell ref="A31:C31"/>
    <mergeCell ref="D31:F31"/>
    <mergeCell ref="H31:J31"/>
    <mergeCell ref="K31:M31"/>
    <mergeCell ref="A32:F32"/>
    <mergeCell ref="H32:M32"/>
    <mergeCell ref="A35:C35"/>
    <mergeCell ref="D35:F35"/>
    <mergeCell ref="H35:J35"/>
    <mergeCell ref="K35:M35"/>
    <mergeCell ref="A37:F37"/>
    <mergeCell ref="H37:M37"/>
    <mergeCell ref="A38:C38"/>
    <mergeCell ref="D38:E38"/>
    <mergeCell ref="H38:J38"/>
    <mergeCell ref="K38:L38"/>
    <mergeCell ref="A39:C39"/>
    <mergeCell ref="D39:F39"/>
    <mergeCell ref="H39:J39"/>
    <mergeCell ref="K39:M39"/>
    <mergeCell ref="A40:C40"/>
    <mergeCell ref="D40:F40"/>
    <mergeCell ref="H40:J40"/>
    <mergeCell ref="K40:M40"/>
    <mergeCell ref="A41:F41"/>
    <mergeCell ref="H41:M41"/>
    <mergeCell ref="A44:C44"/>
    <mergeCell ref="D44:F44"/>
    <mergeCell ref="H44:J44"/>
    <mergeCell ref="K44:M44"/>
    <mergeCell ref="A46:F46"/>
    <mergeCell ref="H46:M46"/>
    <mergeCell ref="A47:C47"/>
    <mergeCell ref="D47:E47"/>
    <mergeCell ref="H47:J47"/>
    <mergeCell ref="K47:L47"/>
    <mergeCell ref="A48:C48"/>
    <mergeCell ref="D48:F48"/>
    <mergeCell ref="H48:J48"/>
    <mergeCell ref="K48:M48"/>
    <mergeCell ref="A49:C49"/>
    <mergeCell ref="D49:F49"/>
    <mergeCell ref="H49:J49"/>
    <mergeCell ref="K49:M49"/>
    <mergeCell ref="A50:F50"/>
    <mergeCell ref="H50:M50"/>
    <mergeCell ref="A53:C53"/>
    <mergeCell ref="D53:F53"/>
    <mergeCell ref="H53:J53"/>
    <mergeCell ref="K53:M53"/>
  </mergeCells>
  <printOptions horizontalCentered="1" verticalCentered="1"/>
  <pageMargins left="0.3937007874015748" right="0.5905511811023623" top="0.3937007874015748" bottom="0.3937007874015748" header="0.5118110236220472" footer="0.5118110236220472"/>
  <pageSetup horizontalDpi="150" verticalDpi="150" orientation="landscape" paperSize="9" scale="75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37">
      <selection activeCell="G57" sqref="G57"/>
    </sheetView>
  </sheetViews>
  <sheetFormatPr defaultColWidth="9.00390625" defaultRowHeight="12.75"/>
  <cols>
    <col min="1" max="1" width="4.625" style="49" bestFit="1" customWidth="1"/>
    <col min="2" max="2" width="17.375" style="49" bestFit="1" customWidth="1"/>
    <col min="3" max="3" width="7.00390625" style="49" bestFit="1" customWidth="1"/>
    <col min="4" max="4" width="22.25390625" style="49" bestFit="1" customWidth="1"/>
    <col min="5" max="5" width="7.875" style="49" bestFit="1" customWidth="1"/>
    <col min="6" max="8" width="9.125" style="49" customWidth="1"/>
    <col min="9" max="9" width="14.125" style="49" customWidth="1"/>
    <col min="10" max="10" width="9.125" style="49" customWidth="1"/>
    <col min="12" max="12" width="9.125" style="49" customWidth="1"/>
    <col min="15" max="16384" width="9.125" style="49" customWidth="1"/>
  </cols>
  <sheetData>
    <row r="1" spans="1:5" ht="12.75">
      <c r="A1" s="49" t="s">
        <v>19</v>
      </c>
      <c r="B1" s="49" t="s">
        <v>12</v>
      </c>
      <c r="C1" s="49" t="s">
        <v>28</v>
      </c>
      <c r="D1" s="49" t="s">
        <v>13</v>
      </c>
      <c r="E1" s="49" t="s">
        <v>45</v>
      </c>
    </row>
    <row r="2" spans="1:12" ht="15">
      <c r="A2" s="53">
        <v>1</v>
      </c>
      <c r="B2" s="134" t="s">
        <v>62</v>
      </c>
      <c r="C2" s="134">
        <v>2011</v>
      </c>
      <c r="D2" s="134" t="s">
        <v>51</v>
      </c>
      <c r="E2" s="134">
        <v>2</v>
      </c>
      <c r="F2" s="138" t="s">
        <v>50</v>
      </c>
      <c r="H2" s="133">
        <v>76390</v>
      </c>
      <c r="I2" s="133"/>
      <c r="J2" s="133"/>
      <c r="L2" s="133"/>
    </row>
    <row r="3" spans="1:12" ht="15">
      <c r="A3" s="53">
        <v>2</v>
      </c>
      <c r="B3" s="134" t="s">
        <v>64</v>
      </c>
      <c r="C3" s="134">
        <v>2011</v>
      </c>
      <c r="D3" s="134" t="s">
        <v>54</v>
      </c>
      <c r="E3" s="134">
        <v>3</v>
      </c>
      <c r="F3" s="139"/>
      <c r="H3" s="133">
        <v>75447</v>
      </c>
      <c r="I3" s="133"/>
      <c r="J3" s="133"/>
      <c r="L3" s="133"/>
    </row>
    <row r="4" spans="1:12" ht="15">
      <c r="A4" s="53">
        <v>3</v>
      </c>
      <c r="B4" s="134" t="s">
        <v>65</v>
      </c>
      <c r="C4" s="134">
        <v>2012</v>
      </c>
      <c r="D4" s="134" t="s">
        <v>52</v>
      </c>
      <c r="E4" s="134">
        <v>4</v>
      </c>
      <c r="F4" s="139"/>
      <c r="H4" s="133">
        <v>73912</v>
      </c>
      <c r="I4" s="133"/>
      <c r="J4" s="133"/>
      <c r="L4" s="133"/>
    </row>
    <row r="5" spans="1:12" ht="15">
      <c r="A5" s="53">
        <v>4</v>
      </c>
      <c r="B5" s="134" t="s">
        <v>63</v>
      </c>
      <c r="C5" s="134">
        <v>2012</v>
      </c>
      <c r="D5" s="134" t="s">
        <v>57</v>
      </c>
      <c r="E5" s="134">
        <v>5</v>
      </c>
      <c r="F5" s="139"/>
      <c r="H5" s="133">
        <v>80198</v>
      </c>
      <c r="I5" s="133"/>
      <c r="J5" s="133"/>
      <c r="L5" s="133"/>
    </row>
    <row r="6" spans="1:12" ht="15">
      <c r="A6" s="53">
        <v>5</v>
      </c>
      <c r="B6" s="134" t="s">
        <v>71</v>
      </c>
      <c r="C6" s="134">
        <v>2011</v>
      </c>
      <c r="D6" s="134" t="s">
        <v>54</v>
      </c>
      <c r="E6" s="134">
        <v>6</v>
      </c>
      <c r="F6" s="139"/>
      <c r="H6" s="133">
        <v>83224</v>
      </c>
      <c r="I6" s="133"/>
      <c r="J6" s="133"/>
      <c r="L6" s="133"/>
    </row>
    <row r="7" spans="1:12" ht="15">
      <c r="A7" s="53">
        <v>6</v>
      </c>
      <c r="B7" s="134" t="s">
        <v>81</v>
      </c>
      <c r="C7" s="134">
        <v>2011</v>
      </c>
      <c r="D7" s="134" t="s">
        <v>54</v>
      </c>
      <c r="E7" s="134">
        <v>9</v>
      </c>
      <c r="F7" s="139"/>
      <c r="H7" s="133">
        <v>82848</v>
      </c>
      <c r="I7" s="133"/>
      <c r="J7" s="133"/>
      <c r="L7" s="133"/>
    </row>
    <row r="8" spans="1:12" ht="15">
      <c r="A8" s="53">
        <v>7</v>
      </c>
      <c r="B8" s="134" t="s">
        <v>82</v>
      </c>
      <c r="C8" s="134">
        <v>2011</v>
      </c>
      <c r="D8" s="134" t="s">
        <v>52</v>
      </c>
      <c r="E8" s="134">
        <v>10</v>
      </c>
      <c r="F8" s="139"/>
      <c r="H8" s="133">
        <v>84324</v>
      </c>
      <c r="I8" s="133"/>
      <c r="J8" s="133"/>
      <c r="L8" s="133"/>
    </row>
    <row r="9" spans="1:12" ht="15">
      <c r="A9" s="53">
        <v>8</v>
      </c>
      <c r="B9" s="134" t="s">
        <v>72</v>
      </c>
      <c r="C9" s="134">
        <v>2013</v>
      </c>
      <c r="D9" s="134" t="s">
        <v>54</v>
      </c>
      <c r="E9" s="134">
        <v>11</v>
      </c>
      <c r="F9" s="139"/>
      <c r="H9" s="133">
        <v>82979</v>
      </c>
      <c r="I9" s="133"/>
      <c r="J9" s="133"/>
      <c r="L9" s="133"/>
    </row>
    <row r="10" spans="1:12" ht="15">
      <c r="A10" s="53">
        <v>9</v>
      </c>
      <c r="B10" s="134" t="s">
        <v>66</v>
      </c>
      <c r="C10" s="134">
        <v>2011</v>
      </c>
      <c r="D10" s="134" t="s">
        <v>56</v>
      </c>
      <c r="E10" s="134">
        <v>12</v>
      </c>
      <c r="F10" s="139"/>
      <c r="H10" s="133">
        <v>76662</v>
      </c>
      <c r="I10" s="133"/>
      <c r="J10" s="133"/>
      <c r="L10" s="133"/>
    </row>
    <row r="11" spans="1:12" ht="15">
      <c r="A11" s="53">
        <v>10</v>
      </c>
      <c r="B11" s="134" t="s">
        <v>68</v>
      </c>
      <c r="C11" s="134">
        <v>2012</v>
      </c>
      <c r="D11" s="134" t="s">
        <v>58</v>
      </c>
      <c r="E11" s="134">
        <v>13</v>
      </c>
      <c r="F11" s="139"/>
      <c r="H11" s="133">
        <v>78562</v>
      </c>
      <c r="I11" s="133"/>
      <c r="J11" s="133"/>
      <c r="L11" s="133"/>
    </row>
    <row r="12" spans="1:12" ht="15">
      <c r="A12" s="53">
        <v>11</v>
      </c>
      <c r="B12" s="134" t="s">
        <v>83</v>
      </c>
      <c r="C12" s="134">
        <v>2011</v>
      </c>
      <c r="D12" s="134" t="s">
        <v>84</v>
      </c>
      <c r="E12" s="134">
        <v>14</v>
      </c>
      <c r="F12" s="139"/>
      <c r="H12" s="133">
        <v>79907</v>
      </c>
      <c r="I12" s="133"/>
      <c r="J12" s="133"/>
      <c r="L12" s="133"/>
    </row>
    <row r="13" spans="1:12" ht="15">
      <c r="A13" s="53">
        <v>12</v>
      </c>
      <c r="B13" s="134" t="s">
        <v>85</v>
      </c>
      <c r="C13" s="134">
        <v>2011</v>
      </c>
      <c r="D13" s="134" t="s">
        <v>57</v>
      </c>
      <c r="E13" s="134">
        <v>15</v>
      </c>
      <c r="F13" s="139"/>
      <c r="H13" s="133">
        <v>84487</v>
      </c>
      <c r="I13" s="133"/>
      <c r="J13" s="133"/>
      <c r="L13" s="133"/>
    </row>
    <row r="14" spans="1:12" ht="15">
      <c r="A14" s="53">
        <v>13</v>
      </c>
      <c r="B14" s="134" t="s">
        <v>70</v>
      </c>
      <c r="C14" s="134">
        <v>2011</v>
      </c>
      <c r="D14" s="134" t="s">
        <v>55</v>
      </c>
      <c r="E14" s="134">
        <v>16</v>
      </c>
      <c r="F14" s="139"/>
      <c r="H14" s="133">
        <v>83836</v>
      </c>
      <c r="I14" s="133"/>
      <c r="J14" s="133"/>
      <c r="L14" s="133"/>
    </row>
    <row r="15" spans="1:12" ht="15">
      <c r="A15" s="53">
        <v>14</v>
      </c>
      <c r="B15" s="134" t="s">
        <v>86</v>
      </c>
      <c r="C15" s="134">
        <v>2012</v>
      </c>
      <c r="D15" s="134" t="s">
        <v>55</v>
      </c>
      <c r="E15" s="134">
        <v>17</v>
      </c>
      <c r="F15" s="139"/>
      <c r="H15" s="133">
        <v>83835</v>
      </c>
      <c r="I15" s="133"/>
      <c r="J15" s="133"/>
      <c r="L15" s="133"/>
    </row>
    <row r="16" spans="1:12" ht="15">
      <c r="A16" s="53">
        <v>15</v>
      </c>
      <c r="B16" s="134" t="s">
        <v>87</v>
      </c>
      <c r="C16" s="134">
        <v>2011</v>
      </c>
      <c r="D16" s="134" t="s">
        <v>88</v>
      </c>
      <c r="E16" s="134">
        <v>18</v>
      </c>
      <c r="F16" s="139"/>
      <c r="H16" s="133">
        <v>85339</v>
      </c>
      <c r="I16" s="133"/>
      <c r="J16" s="133"/>
      <c r="L16" s="133"/>
    </row>
    <row r="17" spans="1:12" ht="15">
      <c r="A17" s="53">
        <v>16</v>
      </c>
      <c r="B17" s="134" t="s">
        <v>89</v>
      </c>
      <c r="C17" s="134">
        <v>2012</v>
      </c>
      <c r="D17" s="134" t="s">
        <v>90</v>
      </c>
      <c r="E17" s="134">
        <v>19</v>
      </c>
      <c r="F17" s="139"/>
      <c r="H17" s="133">
        <v>82851</v>
      </c>
      <c r="I17" s="133"/>
      <c r="J17" s="133"/>
      <c r="L17" s="133"/>
    </row>
    <row r="18" spans="1:12" ht="15">
      <c r="A18" s="53">
        <v>17</v>
      </c>
      <c r="B18" s="134" t="s">
        <v>69</v>
      </c>
      <c r="C18" s="134">
        <v>2011</v>
      </c>
      <c r="D18" s="134" t="s">
        <v>57</v>
      </c>
      <c r="E18" s="134">
        <v>21</v>
      </c>
      <c r="F18" s="139"/>
      <c r="H18" s="133">
        <v>80391</v>
      </c>
      <c r="I18" s="133"/>
      <c r="J18" s="133"/>
      <c r="L18" s="133"/>
    </row>
    <row r="19" spans="1:12" ht="15">
      <c r="A19" s="53">
        <v>18</v>
      </c>
      <c r="B19" s="134" t="s">
        <v>91</v>
      </c>
      <c r="C19" s="134">
        <v>2011</v>
      </c>
      <c r="D19" s="134" t="s">
        <v>55</v>
      </c>
      <c r="E19" s="134">
        <v>22</v>
      </c>
      <c r="F19" s="139"/>
      <c r="H19" s="133">
        <v>84150</v>
      </c>
      <c r="I19" s="133"/>
      <c r="J19" s="133"/>
      <c r="L19" s="133"/>
    </row>
    <row r="20" spans="1:12" ht="15">
      <c r="A20" s="53">
        <v>19</v>
      </c>
      <c r="B20" s="134" t="s">
        <v>92</v>
      </c>
      <c r="C20" s="134">
        <v>2012</v>
      </c>
      <c r="D20" s="134" t="s">
        <v>93</v>
      </c>
      <c r="E20" s="134">
        <v>23</v>
      </c>
      <c r="F20" s="139"/>
      <c r="H20" s="133">
        <v>82965</v>
      </c>
      <c r="I20" s="133"/>
      <c r="J20" s="133"/>
      <c r="L20" s="133"/>
    </row>
    <row r="21" spans="1:12" ht="15">
      <c r="A21" s="53">
        <v>20</v>
      </c>
      <c r="B21" s="134" t="s">
        <v>94</v>
      </c>
      <c r="C21" s="134">
        <v>2011</v>
      </c>
      <c r="D21" s="134" t="s">
        <v>88</v>
      </c>
      <c r="E21" s="134">
        <v>24</v>
      </c>
      <c r="F21" s="139"/>
      <c r="H21" s="133">
        <v>77054</v>
      </c>
      <c r="I21" s="133"/>
      <c r="J21" s="133"/>
      <c r="L21" s="133"/>
    </row>
    <row r="22" spans="1:12" ht="15">
      <c r="A22" s="53">
        <v>21</v>
      </c>
      <c r="B22" s="134" t="s">
        <v>67</v>
      </c>
      <c r="C22" s="134">
        <v>2011</v>
      </c>
      <c r="D22" s="134" t="s">
        <v>57</v>
      </c>
      <c r="E22" s="134">
        <v>25</v>
      </c>
      <c r="F22" s="139"/>
      <c r="H22" s="133">
        <v>80386</v>
      </c>
      <c r="I22" s="133"/>
      <c r="J22" s="133"/>
      <c r="L22" s="133"/>
    </row>
    <row r="23" spans="1:12" ht="15">
      <c r="A23" s="53">
        <v>22</v>
      </c>
      <c r="B23" s="134" t="s">
        <v>95</v>
      </c>
      <c r="C23" s="134">
        <v>2012</v>
      </c>
      <c r="D23" s="134" t="s">
        <v>54</v>
      </c>
      <c r="E23" s="134">
        <v>26</v>
      </c>
      <c r="F23" s="139"/>
      <c r="H23" s="133">
        <v>80596</v>
      </c>
      <c r="I23" s="133"/>
      <c r="J23" s="133"/>
      <c r="L23" s="133"/>
    </row>
    <row r="24" spans="1:12" ht="15">
      <c r="A24" s="53">
        <v>23</v>
      </c>
      <c r="B24" s="134" t="s">
        <v>96</v>
      </c>
      <c r="C24" s="134">
        <v>2012</v>
      </c>
      <c r="D24" s="134" t="s">
        <v>54</v>
      </c>
      <c r="E24" s="134">
        <v>27</v>
      </c>
      <c r="F24" s="139"/>
      <c r="H24" s="133">
        <v>84876</v>
      </c>
      <c r="I24" s="133"/>
      <c r="J24" s="133"/>
      <c r="L24" s="133"/>
    </row>
    <row r="25" spans="1:12" ht="15">
      <c r="A25" s="53">
        <v>24</v>
      </c>
      <c r="B25" s="134" t="s">
        <v>97</v>
      </c>
      <c r="C25" s="134">
        <v>2012</v>
      </c>
      <c r="D25" s="134" t="s">
        <v>114</v>
      </c>
      <c r="E25" s="134">
        <v>29</v>
      </c>
      <c r="F25" s="139"/>
      <c r="H25" s="133">
        <v>81880</v>
      </c>
      <c r="I25" s="133"/>
      <c r="J25" s="133"/>
      <c r="L25" s="133"/>
    </row>
    <row r="26" spans="1:12" ht="15">
      <c r="A26" s="53">
        <v>25</v>
      </c>
      <c r="B26" s="134" t="s">
        <v>98</v>
      </c>
      <c r="C26" s="134">
        <v>2012</v>
      </c>
      <c r="D26" s="134" t="s">
        <v>55</v>
      </c>
      <c r="E26" s="134">
        <v>31</v>
      </c>
      <c r="F26" s="139"/>
      <c r="H26" s="133">
        <v>85850</v>
      </c>
      <c r="I26" s="133"/>
      <c r="J26" s="133"/>
      <c r="L26" s="133"/>
    </row>
    <row r="27" spans="1:12" ht="15">
      <c r="A27" s="53">
        <v>26</v>
      </c>
      <c r="B27" s="134" t="s">
        <v>103</v>
      </c>
      <c r="C27" s="134">
        <v>2014</v>
      </c>
      <c r="D27" s="134" t="s">
        <v>56</v>
      </c>
      <c r="E27" s="134">
        <v>34</v>
      </c>
      <c r="F27" s="139"/>
      <c r="H27" s="133">
        <v>85014</v>
      </c>
      <c r="I27" s="133"/>
      <c r="J27" s="133"/>
      <c r="L27" s="133"/>
    </row>
    <row r="28" spans="1:12" ht="15">
      <c r="A28" s="53">
        <v>27</v>
      </c>
      <c r="B28" s="134" t="s">
        <v>99</v>
      </c>
      <c r="C28" s="134">
        <v>2011</v>
      </c>
      <c r="D28" s="134" t="s">
        <v>84</v>
      </c>
      <c r="E28" s="134">
        <v>35</v>
      </c>
      <c r="F28" s="139"/>
      <c r="H28" s="133">
        <v>83299</v>
      </c>
      <c r="I28" s="133"/>
      <c r="J28" s="133"/>
      <c r="L28" s="133"/>
    </row>
    <row r="29" spans="1:12" ht="15">
      <c r="A29" s="53">
        <v>28</v>
      </c>
      <c r="B29" s="134" t="s">
        <v>116</v>
      </c>
      <c r="C29" s="134">
        <v>2012</v>
      </c>
      <c r="D29" s="134" t="s">
        <v>53</v>
      </c>
      <c r="E29" s="134">
        <v>38</v>
      </c>
      <c r="F29" s="139"/>
      <c r="H29" s="133">
        <v>83375</v>
      </c>
      <c r="I29" s="133"/>
      <c r="J29" s="133"/>
      <c r="L29" s="133"/>
    </row>
    <row r="30" spans="1:12" ht="15">
      <c r="A30" s="53">
        <v>29</v>
      </c>
      <c r="B30" s="134" t="s">
        <v>104</v>
      </c>
      <c r="C30" s="134">
        <v>2012</v>
      </c>
      <c r="D30" s="134" t="s">
        <v>114</v>
      </c>
      <c r="E30" s="134">
        <v>38</v>
      </c>
      <c r="F30" s="139"/>
      <c r="H30" s="133">
        <v>79819</v>
      </c>
      <c r="I30" s="133"/>
      <c r="J30" s="133"/>
      <c r="L30" s="133"/>
    </row>
    <row r="31" spans="1:12" ht="15">
      <c r="A31" s="53">
        <v>30</v>
      </c>
      <c r="B31" s="134" t="s">
        <v>100</v>
      </c>
      <c r="C31" s="134">
        <v>2013</v>
      </c>
      <c r="D31" s="134" t="s">
        <v>101</v>
      </c>
      <c r="E31" s="134">
        <v>40</v>
      </c>
      <c r="F31" s="139"/>
      <c r="H31" s="133">
        <v>81717</v>
      </c>
      <c r="I31" s="133"/>
      <c r="J31" s="133"/>
      <c r="L31" s="133"/>
    </row>
    <row r="32" spans="1:12" ht="15">
      <c r="A32" s="53">
        <v>31</v>
      </c>
      <c r="B32" s="134" t="s">
        <v>102</v>
      </c>
      <c r="C32" s="134">
        <v>2013</v>
      </c>
      <c r="D32" s="134" t="s">
        <v>88</v>
      </c>
      <c r="E32" s="134">
        <v>49</v>
      </c>
      <c r="F32" s="139"/>
      <c r="H32" s="133">
        <v>84234</v>
      </c>
      <c r="I32" s="133"/>
      <c r="J32" s="133"/>
      <c r="L32" s="133"/>
    </row>
    <row r="33" spans="1:12" ht="15">
      <c r="A33" s="53">
        <v>32</v>
      </c>
      <c r="B33" s="134" t="s">
        <v>119</v>
      </c>
      <c r="C33" s="134">
        <v>2014</v>
      </c>
      <c r="D33" s="134" t="s">
        <v>118</v>
      </c>
      <c r="E33" s="134">
        <v>69</v>
      </c>
      <c r="F33" s="139"/>
      <c r="H33" s="133">
        <v>84587</v>
      </c>
      <c r="I33" s="133"/>
      <c r="J33" s="133"/>
      <c r="L33" s="133"/>
    </row>
    <row r="34" spans="1:12" ht="6.75" customHeight="1">
      <c r="A34" s="53">
        <v>33</v>
      </c>
      <c r="B34" s="129"/>
      <c r="C34" s="129"/>
      <c r="D34" s="130"/>
      <c r="E34" s="130"/>
      <c r="H34" s="133"/>
      <c r="I34" s="133"/>
      <c r="J34" s="133"/>
      <c r="L34" s="133"/>
    </row>
    <row r="35" spans="1:12" ht="6.75" customHeight="1">
      <c r="A35" s="53">
        <v>34</v>
      </c>
      <c r="B35" s="129"/>
      <c r="C35" s="129"/>
      <c r="D35" s="130"/>
      <c r="E35" s="130"/>
      <c r="H35" s="133"/>
      <c r="I35" s="133"/>
      <c r="J35" s="133"/>
      <c r="L35" s="133"/>
    </row>
    <row r="36" spans="1:12" ht="6.75" customHeight="1">
      <c r="A36" s="53">
        <v>35</v>
      </c>
      <c r="B36" s="129"/>
      <c r="C36" s="129"/>
      <c r="D36" s="130"/>
      <c r="E36" s="130"/>
      <c r="H36" s="133"/>
      <c r="I36" s="133"/>
      <c r="J36" s="133"/>
      <c r="L36" s="133"/>
    </row>
    <row r="37" spans="1:12" ht="6.75" customHeight="1">
      <c r="A37" s="53">
        <v>36</v>
      </c>
      <c r="B37" s="129"/>
      <c r="C37" s="129"/>
      <c r="D37" s="130"/>
      <c r="E37" s="130"/>
      <c r="H37" s="133"/>
      <c r="I37" s="133"/>
      <c r="J37" s="133"/>
      <c r="L37" s="133"/>
    </row>
    <row r="38" spans="1:12" ht="6.75" customHeight="1">
      <c r="A38" s="53">
        <v>37</v>
      </c>
      <c r="B38" s="129"/>
      <c r="C38" s="129"/>
      <c r="D38" s="130"/>
      <c r="E38" s="130"/>
      <c r="H38" s="133"/>
      <c r="I38" s="133"/>
      <c r="J38" s="133"/>
      <c r="L38" s="133"/>
    </row>
    <row r="39" spans="1:12" ht="6.75" customHeight="1">
      <c r="A39" s="53">
        <v>38</v>
      </c>
      <c r="B39" s="129"/>
      <c r="C39" s="129"/>
      <c r="D39" s="130"/>
      <c r="E39" s="130"/>
      <c r="H39" s="133"/>
      <c r="I39" s="133"/>
      <c r="J39" s="133"/>
      <c r="L39" s="133"/>
    </row>
    <row r="40" spans="1:12" ht="6.75" customHeight="1">
      <c r="A40" s="53">
        <v>39</v>
      </c>
      <c r="B40" s="129"/>
      <c r="C40" s="129"/>
      <c r="D40" s="130"/>
      <c r="E40" s="130"/>
      <c r="H40" s="133"/>
      <c r="I40" s="133"/>
      <c r="J40" s="133"/>
      <c r="L40" s="133"/>
    </row>
    <row r="41" spans="1:12" ht="6.75" customHeight="1">
      <c r="A41" s="53">
        <v>40</v>
      </c>
      <c r="B41" s="129"/>
      <c r="C41" s="129"/>
      <c r="D41" s="130"/>
      <c r="E41" s="130"/>
      <c r="H41" s="133"/>
      <c r="I41" s="133"/>
      <c r="J41" s="133"/>
      <c r="L41" s="133"/>
    </row>
    <row r="42" spans="1:12" ht="15">
      <c r="A42" s="53">
        <v>41</v>
      </c>
      <c r="B42" s="134" t="s">
        <v>73</v>
      </c>
      <c r="C42" s="134">
        <v>2014</v>
      </c>
      <c r="D42" s="134" t="s">
        <v>52</v>
      </c>
      <c r="E42" s="134">
        <v>2</v>
      </c>
      <c r="F42" s="140" t="s">
        <v>49</v>
      </c>
      <c r="H42" s="135">
        <v>80387</v>
      </c>
      <c r="I42" s="135"/>
      <c r="J42" s="135"/>
      <c r="L42" s="135"/>
    </row>
    <row r="43" spans="1:12" ht="15">
      <c r="A43" s="53">
        <v>42</v>
      </c>
      <c r="B43" s="134" t="s">
        <v>76</v>
      </c>
      <c r="C43" s="134">
        <v>2013</v>
      </c>
      <c r="D43" s="134" t="s">
        <v>56</v>
      </c>
      <c r="E43" s="134">
        <v>4</v>
      </c>
      <c r="F43" s="141"/>
      <c r="H43" s="135">
        <v>80080</v>
      </c>
      <c r="I43" s="135"/>
      <c r="J43" s="135"/>
      <c r="L43" s="135"/>
    </row>
    <row r="44" spans="1:12" ht="15">
      <c r="A44" s="53">
        <v>43</v>
      </c>
      <c r="B44" s="134" t="s">
        <v>105</v>
      </c>
      <c r="C44" s="134">
        <v>2011</v>
      </c>
      <c r="D44" s="134" t="s">
        <v>60</v>
      </c>
      <c r="E44" s="134">
        <v>5</v>
      </c>
      <c r="F44" s="141"/>
      <c r="H44" s="135">
        <v>76150</v>
      </c>
      <c r="I44" s="135"/>
      <c r="J44" s="135"/>
      <c r="L44" s="135"/>
    </row>
    <row r="45" spans="1:12" ht="15">
      <c r="A45" s="53">
        <v>44</v>
      </c>
      <c r="B45" s="134" t="s">
        <v>75</v>
      </c>
      <c r="C45" s="134">
        <v>2011</v>
      </c>
      <c r="D45" s="134" t="s">
        <v>57</v>
      </c>
      <c r="E45" s="134">
        <v>6</v>
      </c>
      <c r="F45" s="141"/>
      <c r="H45" s="135">
        <v>72016</v>
      </c>
      <c r="I45" s="135"/>
      <c r="J45" s="135"/>
      <c r="L45" s="135"/>
    </row>
    <row r="46" spans="1:12" ht="15">
      <c r="A46" s="53">
        <v>45</v>
      </c>
      <c r="B46" s="134" t="s">
        <v>74</v>
      </c>
      <c r="C46" s="134">
        <v>2014</v>
      </c>
      <c r="D46" s="134" t="s">
        <v>59</v>
      </c>
      <c r="E46" s="134">
        <v>7</v>
      </c>
      <c r="F46" s="141"/>
      <c r="H46" s="135">
        <v>78497</v>
      </c>
      <c r="I46" s="135"/>
      <c r="J46" s="135"/>
      <c r="L46" s="135"/>
    </row>
    <row r="47" spans="1:12" ht="15">
      <c r="A47" s="53">
        <v>46</v>
      </c>
      <c r="B47" s="134" t="s">
        <v>106</v>
      </c>
      <c r="C47" s="134">
        <v>2013</v>
      </c>
      <c r="D47" s="134" t="s">
        <v>52</v>
      </c>
      <c r="E47" s="134">
        <v>8</v>
      </c>
      <c r="F47" s="141"/>
      <c r="H47" s="135">
        <v>81700</v>
      </c>
      <c r="I47" s="135"/>
      <c r="J47" s="135"/>
      <c r="L47" s="135"/>
    </row>
    <row r="48" spans="1:12" ht="15">
      <c r="A48" s="53">
        <v>47</v>
      </c>
      <c r="B48" s="134" t="s">
        <v>78</v>
      </c>
      <c r="C48" s="134">
        <v>2013</v>
      </c>
      <c r="D48" s="134" t="s">
        <v>52</v>
      </c>
      <c r="E48" s="134">
        <v>9</v>
      </c>
      <c r="F48" s="141"/>
      <c r="H48" s="135">
        <v>81750</v>
      </c>
      <c r="I48" s="135"/>
      <c r="J48" s="135"/>
      <c r="L48" s="135"/>
    </row>
    <row r="49" spans="1:12" ht="15">
      <c r="A49" s="53">
        <v>48</v>
      </c>
      <c r="B49" s="134" t="s">
        <v>107</v>
      </c>
      <c r="C49" s="136">
        <v>2012</v>
      </c>
      <c r="D49" s="137" t="s">
        <v>88</v>
      </c>
      <c r="E49" s="134">
        <v>11</v>
      </c>
      <c r="F49" s="141"/>
      <c r="H49" s="135">
        <v>77486</v>
      </c>
      <c r="I49" s="135"/>
      <c r="J49" s="135"/>
      <c r="L49" s="135"/>
    </row>
    <row r="50" spans="1:12" ht="15">
      <c r="A50" s="53">
        <v>49</v>
      </c>
      <c r="B50" s="134" t="s">
        <v>108</v>
      </c>
      <c r="C50" s="134">
        <v>2014</v>
      </c>
      <c r="D50" s="137" t="s">
        <v>115</v>
      </c>
      <c r="E50" s="134">
        <v>13</v>
      </c>
      <c r="F50" s="141"/>
      <c r="H50" s="135">
        <v>82010</v>
      </c>
      <c r="I50" s="135"/>
      <c r="J50" s="135"/>
      <c r="L50" s="135"/>
    </row>
    <row r="51" spans="1:12" ht="15">
      <c r="A51" s="53">
        <v>50</v>
      </c>
      <c r="B51" s="134" t="s">
        <v>77</v>
      </c>
      <c r="C51" s="134">
        <v>2011</v>
      </c>
      <c r="D51" s="137" t="s">
        <v>60</v>
      </c>
      <c r="E51" s="134">
        <v>15</v>
      </c>
      <c r="F51" s="141"/>
      <c r="H51" s="135">
        <v>80282</v>
      </c>
      <c r="I51" s="135"/>
      <c r="J51" s="135"/>
      <c r="L51" s="135"/>
    </row>
    <row r="52" spans="1:12" ht="15">
      <c r="A52" s="53">
        <v>51</v>
      </c>
      <c r="B52" s="134" t="s">
        <v>109</v>
      </c>
      <c r="C52" s="134">
        <v>2014</v>
      </c>
      <c r="D52" s="137" t="s">
        <v>58</v>
      </c>
      <c r="E52" s="134">
        <v>16</v>
      </c>
      <c r="F52" s="141"/>
      <c r="H52" s="135">
        <v>82519</v>
      </c>
      <c r="I52" s="135"/>
      <c r="J52" s="135"/>
      <c r="L52" s="135"/>
    </row>
    <row r="53" spans="1:12" ht="15">
      <c r="A53" s="53">
        <v>52</v>
      </c>
      <c r="B53" s="134" t="s">
        <v>117</v>
      </c>
      <c r="C53" s="134">
        <v>2016</v>
      </c>
      <c r="D53" s="137" t="s">
        <v>118</v>
      </c>
      <c r="E53" s="134">
        <v>999</v>
      </c>
      <c r="F53" s="141"/>
      <c r="H53" s="135">
        <v>82804</v>
      </c>
      <c r="I53" s="135"/>
      <c r="J53" s="135"/>
      <c r="L53" s="135"/>
    </row>
    <row r="54" spans="1:12" ht="15">
      <c r="A54" s="53">
        <v>53</v>
      </c>
      <c r="B54" s="134" t="s">
        <v>110</v>
      </c>
      <c r="C54" s="134">
        <v>2013</v>
      </c>
      <c r="D54" s="134" t="s">
        <v>56</v>
      </c>
      <c r="E54" s="134">
        <v>999</v>
      </c>
      <c r="F54" s="141"/>
      <c r="H54" s="135">
        <v>81583</v>
      </c>
      <c r="I54" s="135"/>
      <c r="J54" s="135"/>
      <c r="L54" s="135"/>
    </row>
    <row r="55" spans="1:12" ht="15">
      <c r="A55" s="53">
        <v>54</v>
      </c>
      <c r="B55" s="134" t="s">
        <v>79</v>
      </c>
      <c r="C55" s="134">
        <v>2012</v>
      </c>
      <c r="D55" s="134" t="s">
        <v>61</v>
      </c>
      <c r="E55" s="134">
        <v>999</v>
      </c>
      <c r="F55" s="141"/>
      <c r="H55" s="135">
        <v>81858</v>
      </c>
      <c r="I55" s="135"/>
      <c r="J55" s="135"/>
      <c r="L55" s="135"/>
    </row>
    <row r="56" spans="1:12" ht="15">
      <c r="A56" s="53">
        <v>55</v>
      </c>
      <c r="B56" s="134" t="s">
        <v>111</v>
      </c>
      <c r="C56" s="134">
        <v>2013</v>
      </c>
      <c r="D56" s="137" t="s">
        <v>112</v>
      </c>
      <c r="E56" s="134">
        <v>999</v>
      </c>
      <c r="F56" s="141"/>
      <c r="H56" s="135">
        <v>83565</v>
      </c>
      <c r="I56" s="135"/>
      <c r="J56" s="135"/>
      <c r="L56" s="135"/>
    </row>
    <row r="57" spans="1:12" ht="15">
      <c r="A57" s="53">
        <v>56</v>
      </c>
      <c r="B57" s="134" t="s">
        <v>113</v>
      </c>
      <c r="C57" s="134">
        <v>2013</v>
      </c>
      <c r="D57" s="137" t="s">
        <v>101</v>
      </c>
      <c r="E57" s="134">
        <v>999</v>
      </c>
      <c r="F57" s="141"/>
      <c r="H57" s="135">
        <v>86850</v>
      </c>
      <c r="I57" s="135"/>
      <c r="J57" s="135"/>
      <c r="L57" s="135"/>
    </row>
    <row r="58" spans="1:12" ht="15">
      <c r="A58" s="53"/>
      <c r="D58" s="52"/>
      <c r="E58" s="50"/>
      <c r="H58" s="135"/>
      <c r="I58" s="135"/>
      <c r="J58" s="135"/>
      <c r="L58" s="135"/>
    </row>
    <row r="59" spans="1:12" ht="15">
      <c r="A59" s="53"/>
      <c r="D59" s="52"/>
      <c r="E59" s="50"/>
      <c r="H59" s="135"/>
      <c r="I59" s="135"/>
      <c r="J59" s="135"/>
      <c r="L59" s="135"/>
    </row>
    <row r="60" spans="1:12" ht="15">
      <c r="A60" s="53"/>
      <c r="D60" s="52"/>
      <c r="E60" s="50"/>
      <c r="H60" s="135"/>
      <c r="I60" s="135"/>
      <c r="J60" s="135"/>
      <c r="L60" s="135"/>
    </row>
    <row r="61" spans="1:5" ht="12.75">
      <c r="A61" s="53"/>
      <c r="D61" s="52"/>
      <c r="E61" s="50"/>
    </row>
    <row r="62" spans="1:5" ht="12.75">
      <c r="A62" s="53"/>
      <c r="D62" s="52"/>
      <c r="E62" s="50"/>
    </row>
    <row r="63" spans="1:5" ht="12.75">
      <c r="A63" s="53"/>
      <c r="D63" s="52"/>
      <c r="E63" s="50"/>
    </row>
    <row r="64" spans="1:5" ht="12.75">
      <c r="A64" s="53"/>
      <c r="D64" s="52"/>
      <c r="E64" s="50"/>
    </row>
    <row r="65" spans="1:5" ht="12.75">
      <c r="A65" s="53"/>
      <c r="D65" s="51"/>
      <c r="E65" s="50"/>
    </row>
    <row r="66" spans="1:5" ht="12.75">
      <c r="A66" s="53"/>
      <c r="D66" s="52"/>
      <c r="E66" s="50"/>
    </row>
    <row r="67" spans="1:5" ht="12.75">
      <c r="A67" s="53"/>
      <c r="D67" s="52"/>
      <c r="E67" s="50"/>
    </row>
    <row r="68" spans="1:5" ht="12.75">
      <c r="A68" s="53"/>
      <c r="D68" s="52"/>
      <c r="E68" s="50"/>
    </row>
    <row r="69" spans="1:5" ht="12.75">
      <c r="A69" s="53"/>
      <c r="D69" s="52"/>
      <c r="E69" s="50"/>
    </row>
    <row r="70" spans="1:5" ht="12.75">
      <c r="A70" s="53"/>
      <c r="D70" s="52"/>
      <c r="E70" s="50"/>
    </row>
    <row r="71" spans="1:5" ht="12.75">
      <c r="A71" s="53"/>
      <c r="B71" s="50"/>
      <c r="C71" s="50"/>
      <c r="D71" s="52"/>
      <c r="E71" s="50"/>
    </row>
    <row r="72" spans="1:5" ht="12.75">
      <c r="A72" s="53"/>
      <c r="D72" s="52"/>
      <c r="E72" s="50"/>
    </row>
    <row r="73" spans="1:5" ht="12.75">
      <c r="A73" s="53"/>
      <c r="D73" s="52"/>
      <c r="E73" s="50"/>
    </row>
    <row r="74" spans="1:5" ht="12.75">
      <c r="A74" s="53"/>
      <c r="D74" s="52"/>
      <c r="E74" s="50"/>
    </row>
    <row r="75" spans="1:5" ht="12.75">
      <c r="A75" s="53"/>
      <c r="D75" s="52"/>
      <c r="E75" s="50"/>
    </row>
    <row r="76" spans="1:5" ht="12.75">
      <c r="A76" s="53"/>
      <c r="D76" s="52"/>
      <c r="E76" s="50"/>
    </row>
    <row r="77" spans="1:5" ht="12.75">
      <c r="A77" s="53"/>
      <c r="D77" s="52"/>
      <c r="E77" s="50"/>
    </row>
    <row r="78" spans="1:5" ht="12.75">
      <c r="A78" s="53"/>
      <c r="D78" s="52"/>
      <c r="E78" s="50"/>
    </row>
    <row r="79" spans="1:5" ht="12.75">
      <c r="A79" s="53"/>
      <c r="D79" s="52"/>
      <c r="E79" s="50"/>
    </row>
    <row r="80" spans="1:5" ht="12.75">
      <c r="A80" s="53"/>
      <c r="D80" s="52"/>
      <c r="E80" s="50"/>
    </row>
    <row r="81" spans="1:5" ht="12.75">
      <c r="A81" s="53"/>
      <c r="D81" s="52"/>
      <c r="E81" s="50"/>
    </row>
    <row r="82" spans="1:5" ht="12.75">
      <c r="A82" s="53"/>
      <c r="D82" s="52"/>
      <c r="E82" s="50"/>
    </row>
    <row r="83" spans="1:5" ht="12.75">
      <c r="A83" s="53"/>
      <c r="D83" s="52"/>
      <c r="E83" s="50"/>
    </row>
    <row r="84" spans="1:5" ht="12.75">
      <c r="A84" s="53"/>
      <c r="D84" s="52"/>
      <c r="E84" s="50"/>
    </row>
    <row r="85" spans="1:5" ht="12.75">
      <c r="A85" s="53"/>
      <c r="D85" s="52"/>
      <c r="E85" s="50"/>
    </row>
    <row r="86" spans="1:5" ht="12.75">
      <c r="A86" s="53"/>
      <c r="D86" s="52"/>
      <c r="E86" s="50"/>
    </row>
    <row r="87" spans="1:5" ht="12.75">
      <c r="A87" s="53"/>
      <c r="D87" s="52"/>
      <c r="E87" s="50"/>
    </row>
    <row r="88" spans="1:5" ht="12.75">
      <c r="A88" s="53"/>
      <c r="D88" s="52"/>
      <c r="E88" s="50"/>
    </row>
    <row r="89" spans="1:5" ht="12.75">
      <c r="A89" s="53"/>
      <c r="D89" s="52"/>
      <c r="E89" s="50"/>
    </row>
    <row r="90" spans="1:5" ht="12.75">
      <c r="A90" s="53"/>
      <c r="D90" s="52"/>
      <c r="E90" s="50"/>
    </row>
    <row r="91" spans="1:5" ht="12.75">
      <c r="A91" s="53"/>
      <c r="D91" s="52"/>
      <c r="E91" s="50"/>
    </row>
    <row r="92" spans="1:5" ht="12.75">
      <c r="A92" s="53"/>
      <c r="D92" s="52"/>
      <c r="E92" s="50"/>
    </row>
    <row r="93" spans="1:5" ht="12.75">
      <c r="A93" s="53"/>
      <c r="D93" s="52"/>
      <c r="E93" s="50"/>
    </row>
    <row r="94" spans="1:5" ht="12.75">
      <c r="A94" s="53"/>
      <c r="D94" s="52"/>
      <c r="E94" s="50"/>
    </row>
    <row r="95" spans="1:5" ht="12.75">
      <c r="A95" s="53"/>
      <c r="D95" s="52"/>
      <c r="E95" s="50"/>
    </row>
    <row r="96" spans="1:5" ht="12.75">
      <c r="A96" s="53"/>
      <c r="D96" s="52"/>
      <c r="E96" s="50"/>
    </row>
    <row r="97" spans="1:5" ht="12.75">
      <c r="A97" s="53"/>
      <c r="D97" s="52"/>
      <c r="E97" s="50"/>
    </row>
    <row r="98" spans="1:5" ht="12.75">
      <c r="A98" s="53"/>
      <c r="D98" s="52"/>
      <c r="E98" s="50"/>
    </row>
    <row r="99" spans="1:5" ht="12.75">
      <c r="A99" s="53"/>
      <c r="D99" s="52"/>
      <c r="E99" s="50"/>
    </row>
    <row r="100" spans="1:5" ht="12.75">
      <c r="A100" s="53"/>
      <c r="D100" s="52"/>
      <c r="E100" s="50"/>
    </row>
    <row r="101" spans="1:5" ht="12.75">
      <c r="A101" s="53"/>
      <c r="D101" s="52"/>
      <c r="E101" s="50"/>
    </row>
    <row r="102" spans="1:5" ht="12.75">
      <c r="A102" s="53"/>
      <c r="D102" s="52"/>
      <c r="E102" s="50"/>
    </row>
    <row r="103" spans="1:5" ht="12.75">
      <c r="A103" s="53"/>
      <c r="D103" s="52"/>
      <c r="E103" s="50"/>
    </row>
    <row r="104" spans="1:5" ht="12.75">
      <c r="A104" s="53"/>
      <c r="D104" s="52"/>
      <c r="E104" s="50"/>
    </row>
    <row r="105" spans="1:5" ht="12.75">
      <c r="A105" s="53"/>
      <c r="D105" s="52"/>
      <c r="E105" s="50"/>
    </row>
    <row r="106" spans="1:5" ht="12.75">
      <c r="A106" s="53"/>
      <c r="D106" s="52"/>
      <c r="E106" s="50"/>
    </row>
    <row r="107" spans="1:5" ht="12.75">
      <c r="A107" s="53"/>
      <c r="D107" s="52"/>
      <c r="E107" s="50"/>
    </row>
    <row r="108" spans="1:5" ht="12.75">
      <c r="A108" s="53"/>
      <c r="D108" s="52"/>
      <c r="E108" s="50"/>
    </row>
    <row r="109" spans="1:5" ht="12.75">
      <c r="A109" s="53"/>
      <c r="D109" s="52"/>
      <c r="E109" s="50"/>
    </row>
    <row r="110" spans="1:5" ht="12.75">
      <c r="A110" s="53"/>
      <c r="D110" s="52"/>
      <c r="E110" s="50"/>
    </row>
    <row r="111" spans="1:5" ht="12.75">
      <c r="A111" s="53"/>
      <c r="D111" s="52"/>
      <c r="E111" s="50"/>
    </row>
    <row r="112" spans="1:5" ht="12.75">
      <c r="A112" s="53"/>
      <c r="D112" s="52"/>
      <c r="E112" s="50"/>
    </row>
    <row r="113" spans="1:5" ht="12.75">
      <c r="A113" s="53"/>
      <c r="D113" s="52"/>
      <c r="E113" s="50"/>
    </row>
    <row r="114" spans="1:5" ht="12.75">
      <c r="A114" s="53"/>
      <c r="D114" s="52"/>
      <c r="E114" s="50"/>
    </row>
    <row r="115" spans="1:5" ht="12.75">
      <c r="A115" s="53"/>
      <c r="D115" s="52"/>
      <c r="E115" s="50"/>
    </row>
    <row r="116" spans="1:5" ht="12.75">
      <c r="A116" s="53"/>
      <c r="D116" s="52"/>
      <c r="E116" s="50"/>
    </row>
    <row r="117" spans="1:5" ht="12.75">
      <c r="A117" s="53"/>
      <c r="D117" s="52"/>
      <c r="E117" s="50"/>
    </row>
    <row r="118" spans="1:5" ht="12.75">
      <c r="A118" s="53"/>
      <c r="D118" s="52"/>
      <c r="E118" s="50"/>
    </row>
    <row r="119" spans="1:5" ht="12.75">
      <c r="A119" s="53"/>
      <c r="D119" s="52"/>
      <c r="E119" s="50"/>
    </row>
    <row r="120" spans="1:5" ht="12.75">
      <c r="A120" s="53"/>
      <c r="D120" s="52"/>
      <c r="E120" s="50"/>
    </row>
    <row r="121" spans="1:5" ht="12.75">
      <c r="A121" s="53"/>
      <c r="D121" s="52"/>
      <c r="E121" s="50"/>
    </row>
    <row r="122" spans="1:5" ht="12.75">
      <c r="A122" s="53"/>
      <c r="D122" s="52"/>
      <c r="E122" s="50"/>
    </row>
    <row r="123" spans="1:5" ht="12.75">
      <c r="A123" s="53"/>
      <c r="D123" s="52"/>
      <c r="E123" s="50"/>
    </row>
    <row r="124" spans="1:5" ht="12.75">
      <c r="A124" s="53"/>
      <c r="D124" s="52"/>
      <c r="E124" s="50"/>
    </row>
    <row r="125" spans="1:5" ht="12.75">
      <c r="A125" s="53"/>
      <c r="D125" s="52"/>
      <c r="E125" s="50"/>
    </row>
    <row r="126" spans="1:5" ht="12.75">
      <c r="A126" s="53"/>
      <c r="D126" s="52"/>
      <c r="E126" s="50"/>
    </row>
    <row r="127" spans="1:5" ht="12.75">
      <c r="A127" s="53"/>
      <c r="D127" s="52"/>
      <c r="E127" s="50"/>
    </row>
    <row r="128" spans="1:5" ht="12.75">
      <c r="A128" s="53"/>
      <c r="D128" s="52"/>
      <c r="E128" s="50"/>
    </row>
    <row r="129" spans="1:5" ht="12.75">
      <c r="A129" s="53"/>
      <c r="D129" s="52"/>
      <c r="E129" s="50"/>
    </row>
    <row r="130" spans="1:5" ht="12.75">
      <c r="A130" s="53"/>
      <c r="B130" s="53"/>
      <c r="D130" s="52"/>
      <c r="E130" s="50"/>
    </row>
    <row r="131" spans="1:5" ht="12.75">
      <c r="A131" s="53"/>
      <c r="B131" s="53"/>
      <c r="D131" s="52"/>
      <c r="E131" s="50"/>
    </row>
    <row r="132" spans="1:5" ht="12.75">
      <c r="A132" s="53"/>
      <c r="B132" s="53"/>
      <c r="D132" s="52"/>
      <c r="E132" s="50"/>
    </row>
    <row r="133" spans="1:5" ht="12.75">
      <c r="A133" s="53"/>
      <c r="B133" s="53"/>
      <c r="D133" s="52"/>
      <c r="E133" s="50"/>
    </row>
    <row r="134" spans="1:5" ht="12.75">
      <c r="A134" s="53"/>
      <c r="B134" s="53"/>
      <c r="D134" s="52"/>
      <c r="E134" s="50"/>
    </row>
    <row r="135" spans="1:5" ht="12.75">
      <c r="A135" s="53"/>
      <c r="B135" s="53"/>
      <c r="D135" s="52"/>
      <c r="E135" s="50"/>
    </row>
    <row r="136" spans="1:5" ht="12.75">
      <c r="A136" s="53"/>
      <c r="B136" s="53"/>
      <c r="C136" s="50"/>
      <c r="D136" s="51"/>
      <c r="E136" s="50"/>
    </row>
    <row r="137" spans="1:5" ht="12.75">
      <c r="A137" s="53"/>
      <c r="B137" s="53"/>
      <c r="C137" s="50"/>
      <c r="D137" s="51"/>
      <c r="E137" s="50"/>
    </row>
    <row r="138" spans="1:5" ht="12.75">
      <c r="A138" s="53"/>
      <c r="B138" s="53"/>
      <c r="D138" s="52"/>
      <c r="E138" s="50"/>
    </row>
    <row r="139" spans="1:5" ht="12.75">
      <c r="A139" s="53"/>
      <c r="B139" s="53"/>
      <c r="C139" s="50"/>
      <c r="D139" s="52"/>
      <c r="E139" s="50"/>
    </row>
    <row r="140" spans="1:5" ht="12.75">
      <c r="A140" s="53"/>
      <c r="B140" s="53"/>
      <c r="E140" s="50"/>
    </row>
    <row r="141" spans="1:5" ht="12.75">
      <c r="A141" s="53"/>
      <c r="B141" s="53"/>
      <c r="E141" s="50"/>
    </row>
    <row r="142" spans="1:5" ht="12.75">
      <c r="A142" s="53"/>
      <c r="B142" s="53"/>
      <c r="E142" s="50"/>
    </row>
    <row r="143" spans="1:5" ht="12.75">
      <c r="A143" s="53"/>
      <c r="B143" s="53"/>
      <c r="E143" s="50"/>
    </row>
    <row r="144" spans="1:5" ht="12.75">
      <c r="A144" s="53"/>
      <c r="B144" s="53"/>
      <c r="E144" s="50"/>
    </row>
    <row r="145" spans="1:5" ht="12.75">
      <c r="A145" s="53"/>
      <c r="B145" s="53"/>
      <c r="E145" s="50"/>
    </row>
    <row r="146" spans="1:5" ht="12.75">
      <c r="A146" s="53"/>
      <c r="B146" s="53"/>
      <c r="E146" s="50"/>
    </row>
    <row r="147" spans="1:5" ht="12.75">
      <c r="A147" s="53"/>
      <c r="B147" s="53"/>
      <c r="E147" s="50"/>
    </row>
    <row r="148" spans="1:5" ht="12.75">
      <c r="A148" s="53"/>
      <c r="B148" s="53"/>
      <c r="E148" s="50"/>
    </row>
    <row r="149" spans="1:5" ht="12.75">
      <c r="A149" s="53"/>
      <c r="B149" s="53"/>
      <c r="E149" s="50"/>
    </row>
    <row r="150" spans="1:5" ht="12.75">
      <c r="A150" s="53"/>
      <c r="B150" s="53"/>
      <c r="E150" s="50"/>
    </row>
    <row r="151" spans="1:5" ht="12.75">
      <c r="A151" s="53"/>
      <c r="B151" s="53"/>
      <c r="E151" s="50"/>
    </row>
    <row r="152" spans="1:5" ht="12.75">
      <c r="A152" s="53"/>
      <c r="B152" s="53"/>
      <c r="E152" s="50"/>
    </row>
    <row r="153" spans="1:5" ht="12.75">
      <c r="A153" s="53"/>
      <c r="B153" s="53"/>
      <c r="E153" s="50"/>
    </row>
    <row r="154" spans="1:5" ht="12.75">
      <c r="A154" s="53"/>
      <c r="B154" s="53"/>
      <c r="E154" s="50"/>
    </row>
    <row r="155" spans="1:5" ht="12.75">
      <c r="A155" s="53"/>
      <c r="B155" s="53"/>
      <c r="E155" s="50"/>
    </row>
    <row r="156" spans="1:5" ht="12.75">
      <c r="A156" s="53"/>
      <c r="B156" s="53"/>
      <c r="E156" s="50"/>
    </row>
    <row r="157" spans="1:5" ht="12.75">
      <c r="A157" s="53"/>
      <c r="B157" s="53"/>
      <c r="E157" s="50"/>
    </row>
    <row r="158" spans="1:5" ht="12.75">
      <c r="A158" s="53"/>
      <c r="B158" s="53"/>
      <c r="E158" s="50"/>
    </row>
    <row r="159" spans="1:5" ht="12.75">
      <c r="A159" s="53"/>
      <c r="B159" s="53"/>
      <c r="E159" s="50"/>
    </row>
    <row r="160" spans="1:5" ht="12.75">
      <c r="A160" s="53"/>
      <c r="B160" s="53"/>
      <c r="E160" s="50"/>
    </row>
    <row r="161" spans="1:5" ht="12.75">
      <c r="A161" s="53"/>
      <c r="B161" s="53"/>
      <c r="E161" s="50"/>
    </row>
    <row r="162" spans="1:5" ht="12.75">
      <c r="A162" s="53"/>
      <c r="B162" s="53"/>
      <c r="E162" s="50"/>
    </row>
    <row r="163" spans="1:5" ht="12.75">
      <c r="A163" s="53"/>
      <c r="B163" s="53"/>
      <c r="E163" s="50"/>
    </row>
    <row r="164" spans="1:5" ht="12.75">
      <c r="A164" s="53"/>
      <c r="B164" s="53"/>
      <c r="E164" s="50"/>
    </row>
    <row r="165" spans="1:5" ht="12.75">
      <c r="A165" s="53"/>
      <c r="B165" s="53"/>
      <c r="E165" s="50"/>
    </row>
    <row r="166" spans="1:5" ht="12.75">
      <c r="A166" s="53"/>
      <c r="B166" s="53"/>
      <c r="E166" s="50"/>
    </row>
    <row r="167" spans="1:5" ht="12.75">
      <c r="A167" s="53"/>
      <c r="B167" s="53"/>
      <c r="E167" s="50"/>
    </row>
    <row r="168" spans="1:5" ht="12.75">
      <c r="A168" s="53"/>
      <c r="B168" s="53"/>
      <c r="E168" s="50"/>
    </row>
    <row r="169" spans="1:5" ht="12.75">
      <c r="A169" s="53"/>
      <c r="B169" s="53"/>
      <c r="E169" s="50"/>
    </row>
    <row r="170" spans="1:5" ht="12.75">
      <c r="A170" s="53"/>
      <c r="B170" s="53"/>
      <c r="E170" s="50"/>
    </row>
    <row r="171" spans="1:5" ht="12.75">
      <c r="A171" s="53"/>
      <c r="B171" s="53"/>
      <c r="E171" s="50"/>
    </row>
    <row r="172" spans="1:5" ht="12.75">
      <c r="A172" s="53"/>
      <c r="B172" s="53"/>
      <c r="E172" s="50"/>
    </row>
    <row r="173" spans="1:5" ht="12.75">
      <c r="A173" s="53"/>
      <c r="B173" s="53"/>
      <c r="E173" s="50"/>
    </row>
    <row r="174" spans="1:5" ht="12.75">
      <c r="A174" s="53"/>
      <c r="B174" s="53"/>
      <c r="E174" s="50"/>
    </row>
    <row r="175" spans="1:5" ht="12.75">
      <c r="A175" s="53"/>
      <c r="B175" s="53"/>
      <c r="E175" s="50"/>
    </row>
    <row r="176" spans="1:5" ht="12.75">
      <c r="A176" s="53"/>
      <c r="B176" s="53"/>
      <c r="E176" s="50"/>
    </row>
    <row r="177" spans="1:5" ht="12.75">
      <c r="A177" s="53"/>
      <c r="B177" s="53"/>
      <c r="E177" s="50"/>
    </row>
    <row r="178" spans="1:5" ht="12.75">
      <c r="A178" s="53"/>
      <c r="B178" s="53"/>
      <c r="E178" s="50"/>
    </row>
    <row r="179" spans="1:5" ht="12.75">
      <c r="A179" s="53"/>
      <c r="B179" s="53"/>
      <c r="E179" s="50"/>
    </row>
    <row r="180" spans="1:5" ht="12.75">
      <c r="A180" s="53"/>
      <c r="B180" s="53"/>
      <c r="E180" s="50"/>
    </row>
    <row r="181" spans="1:5" ht="12.75">
      <c r="A181" s="53"/>
      <c r="B181" s="53"/>
      <c r="E181" s="50"/>
    </row>
    <row r="182" spans="1:5" ht="12.75">
      <c r="A182" s="53"/>
      <c r="B182" s="53"/>
      <c r="E182" s="50"/>
    </row>
    <row r="183" spans="1:5" ht="12.75">
      <c r="A183" s="53"/>
      <c r="B183" s="53"/>
      <c r="E183" s="50"/>
    </row>
    <row r="184" spans="1:5" ht="12.75">
      <c r="A184" s="53"/>
      <c r="B184" s="53"/>
      <c r="E184" s="50"/>
    </row>
    <row r="185" spans="1:5" ht="12.75">
      <c r="A185" s="53"/>
      <c r="B185" s="53"/>
      <c r="E185" s="50"/>
    </row>
    <row r="186" spans="1:5" ht="12.75">
      <c r="A186" s="53"/>
      <c r="B186" s="53"/>
      <c r="E186" s="50"/>
    </row>
    <row r="187" spans="1:5" ht="12.75">
      <c r="A187" s="53"/>
      <c r="B187" s="53"/>
      <c r="E187" s="50"/>
    </row>
    <row r="188" spans="1:5" ht="12.75">
      <c r="A188" s="53"/>
      <c r="B188" s="53"/>
      <c r="E188" s="50"/>
    </row>
    <row r="189" spans="1:5" ht="12.75">
      <c r="A189" s="53"/>
      <c r="B189" s="53"/>
      <c r="E189" s="50"/>
    </row>
    <row r="190" spans="1:5" ht="12.75">
      <c r="A190" s="53"/>
      <c r="B190" s="53"/>
      <c r="E190" s="50"/>
    </row>
    <row r="191" spans="1:5" ht="12.75">
      <c r="A191" s="53"/>
      <c r="B191" s="53"/>
      <c r="E191" s="50"/>
    </row>
    <row r="192" spans="1:5" ht="12.75">
      <c r="A192" s="53"/>
      <c r="B192" s="53"/>
      <c r="E192" s="50"/>
    </row>
    <row r="193" spans="1:5" ht="12.75">
      <c r="A193" s="53"/>
      <c r="B193" s="53"/>
      <c r="E193" s="50"/>
    </row>
    <row r="194" spans="1:5" ht="12.75">
      <c r="A194" s="53"/>
      <c r="B194" s="53"/>
      <c r="E194" s="50"/>
    </row>
    <row r="195" spans="1:5" ht="12.75">
      <c r="A195" s="53"/>
      <c r="B195" s="53"/>
      <c r="E195" s="50"/>
    </row>
    <row r="196" spans="1:5" ht="12.75">
      <c r="A196" s="53"/>
      <c r="B196" s="53"/>
      <c r="E196" s="50"/>
    </row>
    <row r="197" spans="1:5" ht="12.75">
      <c r="A197" s="53"/>
      <c r="B197" s="53"/>
      <c r="E197" s="50"/>
    </row>
    <row r="198" spans="1:5" ht="12.75">
      <c r="A198" s="53"/>
      <c r="B198" s="53"/>
      <c r="E198" s="50"/>
    </row>
    <row r="199" spans="1:5" ht="12.75">
      <c r="A199" s="53"/>
      <c r="B199" s="53"/>
      <c r="E199" s="50"/>
    </row>
    <row r="200" spans="1:5" ht="12.75">
      <c r="A200" s="53"/>
      <c r="B200" s="53"/>
      <c r="E200" s="50"/>
    </row>
    <row r="201" spans="1:5" ht="12.75">
      <c r="A201" s="53"/>
      <c r="B201" s="53"/>
      <c r="E201" s="50"/>
    </row>
    <row r="202" spans="1:5" ht="12.75">
      <c r="A202" s="53"/>
      <c r="B202" s="53"/>
      <c r="E202" s="50"/>
    </row>
    <row r="203" spans="1:5" ht="12.75">
      <c r="A203" s="53"/>
      <c r="B203" s="53"/>
      <c r="E203" s="50"/>
    </row>
    <row r="204" spans="1:5" ht="12.75">
      <c r="A204" s="53"/>
      <c r="B204" s="53"/>
      <c r="E204" s="50"/>
    </row>
    <row r="205" spans="1:5" ht="12.75">
      <c r="A205" s="53"/>
      <c r="B205" s="53"/>
      <c r="E205" s="50"/>
    </row>
    <row r="206" spans="1:5" ht="12.75">
      <c r="A206" s="53"/>
      <c r="B206" s="53"/>
      <c r="E206" s="50"/>
    </row>
    <row r="207" spans="1:5" ht="12.75">
      <c r="A207" s="53"/>
      <c r="B207" s="53"/>
      <c r="E207" s="50"/>
    </row>
    <row r="208" spans="1:5" ht="12.75">
      <c r="A208" s="53"/>
      <c r="B208" s="53"/>
      <c r="E208" s="50"/>
    </row>
    <row r="209" spans="1:5" ht="12.75">
      <c r="A209" s="53"/>
      <c r="B209" s="53"/>
      <c r="E209" s="50"/>
    </row>
    <row r="210" spans="1:5" ht="12.75">
      <c r="A210" s="53"/>
      <c r="B210" s="53"/>
      <c r="E210" s="50"/>
    </row>
    <row r="211" spans="1:5" ht="12.75">
      <c r="A211" s="53"/>
      <c r="B211" s="53"/>
      <c r="E211" s="50"/>
    </row>
    <row r="212" spans="1:5" ht="12.75">
      <c r="A212" s="53"/>
      <c r="B212" s="53"/>
      <c r="E212" s="50"/>
    </row>
    <row r="213" spans="1:5" ht="12.75">
      <c r="A213" s="53"/>
      <c r="B213" s="53"/>
      <c r="E213" s="50"/>
    </row>
    <row r="214" spans="1:5" ht="12.75">
      <c r="A214" s="53"/>
      <c r="B214" s="53"/>
      <c r="E214" s="50"/>
    </row>
    <row r="215" spans="1:5" ht="12.75">
      <c r="A215" s="53"/>
      <c r="B215" s="53"/>
      <c r="E215" s="50"/>
    </row>
    <row r="216" spans="1:5" ht="12.75">
      <c r="A216" s="53"/>
      <c r="B216" s="53"/>
      <c r="E216" s="50"/>
    </row>
    <row r="217" spans="1:5" ht="12.75">
      <c r="A217" s="53"/>
      <c r="B217" s="53"/>
      <c r="E217" s="50"/>
    </row>
    <row r="218" spans="1:5" ht="12.75">
      <c r="A218" s="53"/>
      <c r="B218" s="53"/>
      <c r="E218" s="50"/>
    </row>
    <row r="219" spans="1:5" ht="12.75">
      <c r="A219" s="53"/>
      <c r="B219" s="53"/>
      <c r="E219" s="50"/>
    </row>
    <row r="220" spans="1:5" ht="12.75">
      <c r="A220" s="53"/>
      <c r="B220" s="53"/>
      <c r="E220" s="50"/>
    </row>
    <row r="221" spans="1:5" ht="12.75">
      <c r="A221" s="53"/>
      <c r="B221" s="53"/>
      <c r="E221" s="50"/>
    </row>
    <row r="222" spans="1:5" ht="12.75">
      <c r="A222" s="53"/>
      <c r="B222" s="53"/>
      <c r="E222" s="50"/>
    </row>
    <row r="223" spans="1:5" ht="12.75">
      <c r="A223" s="53"/>
      <c r="B223" s="53"/>
      <c r="E223" s="50"/>
    </row>
    <row r="224" spans="1:5" ht="12.75">
      <c r="A224" s="53"/>
      <c r="B224" s="53"/>
      <c r="E224" s="50"/>
    </row>
    <row r="225" spans="1:5" ht="12.75">
      <c r="A225" s="53"/>
      <c r="B225" s="53"/>
      <c r="E225" s="50"/>
    </row>
    <row r="226" spans="1:5" ht="12.75">
      <c r="A226" s="53"/>
      <c r="B226" s="53"/>
      <c r="E226" s="50"/>
    </row>
    <row r="227" spans="1:5" ht="12.75">
      <c r="A227" s="53"/>
      <c r="B227" s="53"/>
      <c r="E227" s="50"/>
    </row>
    <row r="228" spans="1:5" ht="12.75">
      <c r="A228" s="53"/>
      <c r="B228" s="53"/>
      <c r="E228" s="50"/>
    </row>
    <row r="229" spans="1:5" ht="12.75">
      <c r="A229" s="53"/>
      <c r="B229" s="53"/>
      <c r="E229" s="50"/>
    </row>
    <row r="230" spans="1:5" ht="12.75">
      <c r="A230" s="53"/>
      <c r="B230" s="53"/>
      <c r="E230" s="50"/>
    </row>
    <row r="231" spans="1:5" ht="12.75">
      <c r="A231" s="53"/>
      <c r="B231" s="53"/>
      <c r="E231" s="50"/>
    </row>
    <row r="232" spans="1:5" ht="12.75">
      <c r="A232" s="53"/>
      <c r="B232" s="53"/>
      <c r="E232" s="50"/>
    </row>
    <row r="233" spans="1:5" ht="12.75">
      <c r="A233" s="53"/>
      <c r="B233" s="53"/>
      <c r="E233" s="50"/>
    </row>
    <row r="234" spans="1:5" ht="12.75">
      <c r="A234" s="53"/>
      <c r="B234" s="53"/>
      <c r="E234" s="50"/>
    </row>
    <row r="235" spans="1:5" ht="12.75">
      <c r="A235" s="53"/>
      <c r="B235" s="53"/>
      <c r="E235" s="50"/>
    </row>
    <row r="236" spans="1:5" ht="12.75">
      <c r="A236" s="53"/>
      <c r="B236" s="53"/>
      <c r="E236" s="50"/>
    </row>
    <row r="237" spans="1:5" ht="12.75">
      <c r="A237" s="53"/>
      <c r="B237" s="53"/>
      <c r="E237" s="50"/>
    </row>
    <row r="238" spans="1:5" ht="12.75">
      <c r="A238" s="53"/>
      <c r="B238" s="53"/>
      <c r="E238" s="50"/>
    </row>
    <row r="239" spans="1:5" ht="12.75">
      <c r="A239" s="53"/>
      <c r="B239" s="53"/>
      <c r="E239" s="50"/>
    </row>
    <row r="240" spans="1:5" ht="12.75">
      <c r="A240" s="53"/>
      <c r="B240" s="53"/>
      <c r="E240" s="50"/>
    </row>
    <row r="241" spans="1:5" ht="12.75">
      <c r="A241" s="53"/>
      <c r="B241" s="53"/>
      <c r="E241" s="50"/>
    </row>
    <row r="242" spans="1:5" ht="12.75">
      <c r="A242" s="53"/>
      <c r="B242" s="53"/>
      <c r="E242" s="50"/>
    </row>
    <row r="243" spans="1:5" ht="12.75">
      <c r="A243" s="53"/>
      <c r="B243" s="53"/>
      <c r="E243" s="50"/>
    </row>
    <row r="244" spans="1:5" ht="12.75">
      <c r="A244" s="53"/>
      <c r="B244" s="53"/>
      <c r="E244" s="50"/>
    </row>
    <row r="245" spans="1:5" ht="12.75">
      <c r="A245" s="53"/>
      <c r="B245" s="53"/>
      <c r="E245" s="50"/>
    </row>
    <row r="246" spans="1:5" ht="12.75">
      <c r="A246" s="53"/>
      <c r="B246" s="53"/>
      <c r="E246" s="50"/>
    </row>
    <row r="247" spans="1:5" ht="12.75">
      <c r="A247" s="53"/>
      <c r="B247" s="53"/>
      <c r="E247" s="50"/>
    </row>
  </sheetData>
  <sheetProtection/>
  <mergeCells count="2">
    <mergeCell ref="F2:F33"/>
    <mergeCell ref="F42:F57"/>
  </mergeCells>
  <printOptions/>
  <pageMargins left="0.7874015748031497" right="0.7874015748031497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B1">
      <selection activeCell="B21" sqref="B21:H28"/>
    </sheetView>
  </sheetViews>
  <sheetFormatPr defaultColWidth="9.00390625" defaultRowHeight="12.75"/>
  <cols>
    <col min="1" max="1" width="4.125" style="76" customWidth="1"/>
    <col min="2" max="3" width="4.00390625" style="76" customWidth="1"/>
    <col min="4" max="4" width="14.625" style="76" customWidth="1"/>
    <col min="5" max="5" width="14.25390625" style="76" customWidth="1"/>
    <col min="6" max="6" width="18.125" style="76" customWidth="1"/>
    <col min="7" max="7" width="13.125" style="76" customWidth="1"/>
    <col min="8" max="8" width="8.125" style="76" customWidth="1"/>
    <col min="9" max="16384" width="9.125" style="76" customWidth="1"/>
  </cols>
  <sheetData>
    <row r="1" spans="1:9" ht="11.25">
      <c r="A1" s="76">
        <v>1</v>
      </c>
      <c r="B1" s="78">
        <v>41</v>
      </c>
      <c r="C1" s="78">
        <v>3</v>
      </c>
      <c r="D1" s="76" t="str">
        <f>IF($B1="","",VLOOKUP($B1,sez!$A$2:$B$259,2,"nepravda"))</f>
        <v>Cupáková Bára</v>
      </c>
      <c r="E1" s="76" t="str">
        <f>IF($B1="","",VLOOKUP($B1,sez!$A$2:$D$259,4,"nepravda"))</f>
        <v>KST FOSFA LVA</v>
      </c>
      <c r="F1" s="76" t="str">
        <f>IF($C1="","",VLOOKUP($C1,sez!$A$2:$B$259,2,"nepravda"))</f>
        <v>Cupák Jakub</v>
      </c>
      <c r="G1" s="76" t="str">
        <f>IF($C1="","",VLOOKUP($C1,sez!$A$2:$D$259,4,"nepravda"))</f>
        <v>KST FOSFA LVA</v>
      </c>
      <c r="H1" s="76">
        <f>IF(C1="","",VLOOKUP($B1,sez!$A$2:$E$259,5,"nepravda")+VLOOKUP($C1,sez!$A$2:$E$259,5))</f>
        <v>6</v>
      </c>
      <c r="I1" s="142" t="s">
        <v>46</v>
      </c>
    </row>
    <row r="2" spans="1:9" ht="11.25">
      <c r="A2" s="76">
        <v>2</v>
      </c>
      <c r="B2" s="78">
        <v>44</v>
      </c>
      <c r="C2" s="78">
        <v>4</v>
      </c>
      <c r="D2" s="76" t="str">
        <f>IF($B2="","",VLOOKUP($B2,sez!$A$2:$B$259,2,"nepravda"))</f>
        <v>Machová Adélka</v>
      </c>
      <c r="E2" s="76" t="str">
        <f>IF($B2="","",VLOOKUP($B2,sez!$A$2:$D$259,4,"nepravda"))</f>
        <v>STP Mikulov</v>
      </c>
      <c r="F2" s="76" t="str">
        <f>IF($C2="","",VLOOKUP($C2,sez!$A$2:$B$259,2,"nepravda"))</f>
        <v>Štěpánek Adam</v>
      </c>
      <c r="G2" s="76" t="str">
        <f>IF($C2="","",VLOOKUP($C2,sez!$A$2:$D$259,4,"nepravda"))</f>
        <v>STP Mikulov</v>
      </c>
      <c r="H2" s="76">
        <f>IF(C2="","",VLOOKUP($B2,sez!$A$2:$E$259,5,"nepravda")+VLOOKUP($C2,sez!$A$2:$E$259,5))</f>
        <v>11</v>
      </c>
      <c r="I2" s="141"/>
    </row>
    <row r="3" spans="1:9" ht="11.25">
      <c r="A3" s="76">
        <v>3</v>
      </c>
      <c r="B3" s="78">
        <v>42</v>
      </c>
      <c r="C3" s="78">
        <v>9</v>
      </c>
      <c r="D3" s="76" t="str">
        <f>IF($B3="","",VLOOKUP($B3,sez!$A$2:$B$259,2,"nepravda"))</f>
        <v>Báťková Pavlína</v>
      </c>
      <c r="E3" s="76" t="str">
        <f>IF($B3="","",VLOOKUP($B3,sez!$A$2:$D$259,4,"nepravda"))</f>
        <v>SKST Hodonín</v>
      </c>
      <c r="F3" s="76" t="str">
        <f>IF($C3="","",VLOOKUP($C3,sez!$A$2:$B$259,2,"nepravda"))</f>
        <v>Macánek Martin</v>
      </c>
      <c r="G3" s="76" t="str">
        <f>IF($C3="","",VLOOKUP($C3,sez!$A$2:$D$259,4,"nepravda"))</f>
        <v>SKST Hodonín</v>
      </c>
      <c r="H3" s="76">
        <f>IF(C3="","",VLOOKUP($B3,sez!$A$2:$E$259,5,"nepravda")+VLOOKUP($C3,sez!$A$2:$E$259,5))</f>
        <v>16</v>
      </c>
      <c r="I3" s="141"/>
    </row>
    <row r="4" spans="1:9" ht="11.25">
      <c r="A4" s="76">
        <v>4</v>
      </c>
      <c r="B4" s="78">
        <v>47</v>
      </c>
      <c r="C4" s="78">
        <v>7</v>
      </c>
      <c r="D4" s="76" t="str">
        <f>IF($B4="","",VLOOKUP($B4,sez!$A$2:$B$259,2,"nepravda"))</f>
        <v>Zechmeisterová Rebeka</v>
      </c>
      <c r="E4" s="76" t="str">
        <f>IF($B4="","",VLOOKUP($B4,sez!$A$2:$D$259,4,"nepravda"))</f>
        <v>KST FOSFA LVA</v>
      </c>
      <c r="F4" s="76" t="str">
        <f>IF($C4="","",VLOOKUP($C4,sez!$A$2:$B$259,2,"nepravda"))</f>
        <v>Herman Jan</v>
      </c>
      <c r="G4" s="76" t="str">
        <f>IF($C4="","",VLOOKUP($C4,sez!$A$2:$D$259,4,"nepravda"))</f>
        <v>KST FOSFA LVA</v>
      </c>
      <c r="H4" s="76">
        <f>IF(C4="","",VLOOKUP($B4,sez!$A$2:$E$259,5,"nepravda")+VLOOKUP($C4,sez!$A$2:$E$259,5))</f>
        <v>19</v>
      </c>
      <c r="I4" s="141"/>
    </row>
    <row r="5" spans="1:9" ht="11.25">
      <c r="A5" s="76">
        <v>5</v>
      </c>
      <c r="B5" s="78">
        <v>43</v>
      </c>
      <c r="C5" s="78">
        <v>12</v>
      </c>
      <c r="D5" s="76" t="str">
        <f>IF($B5="","",VLOOKUP($B5,sez!$A$2:$B$259,2,"nepravda"))</f>
        <v>Struhárová Jana</v>
      </c>
      <c r="E5" s="76" t="str">
        <f>IF($B5="","",VLOOKUP($B5,sez!$A$2:$D$259,4,"nepravda"))</f>
        <v>MSK Břeclav</v>
      </c>
      <c r="F5" s="76" t="str">
        <f>IF($C5="","",VLOOKUP($C5,sez!$A$2:$B$259,2,"nepravda"))</f>
        <v>Jež Vítek</v>
      </c>
      <c r="G5" s="76" t="str">
        <f>IF($C5="","",VLOOKUP($C5,sez!$A$2:$D$259,4,"nepravda"))</f>
        <v>STP Mikulov</v>
      </c>
      <c r="H5" s="76">
        <f>IF(C5="","",VLOOKUP($B5,sez!$A$2:$E$259,5,"nepravda")+VLOOKUP($C5,sez!$A$2:$E$259,5))</f>
        <v>20</v>
      </c>
      <c r="I5" s="141"/>
    </row>
    <row r="6" spans="1:9" ht="11.25">
      <c r="A6" s="76">
        <v>6</v>
      </c>
      <c r="B6" s="78">
        <v>49</v>
      </c>
      <c r="C6" s="78">
        <v>6</v>
      </c>
      <c r="D6" s="76" t="str">
        <f>IF($B6="","",VLOOKUP($B6,sez!$A$2:$B$259,2,"nepravda"))</f>
        <v>Bravencová Karolína</v>
      </c>
      <c r="E6" s="76" t="str">
        <f>IF($B6="","",VLOOKUP($B6,sez!$A$2:$D$259,4,"nepravda"))</f>
        <v>Josefov</v>
      </c>
      <c r="F6" s="76" t="str">
        <f>IF($C6="","",VLOOKUP($C6,sez!$A$2:$B$259,2,"nepravda"))</f>
        <v>Koudelka David</v>
      </c>
      <c r="G6" s="76" t="str">
        <f>IF($C6="","",VLOOKUP($C6,sez!$A$2:$D$259,4,"nepravda"))</f>
        <v>MS Brno</v>
      </c>
      <c r="H6" s="76">
        <f>IF(C6="","",VLOOKUP($B6,sez!$A$2:$E$259,5,"nepravda")+VLOOKUP($C6,sez!$A$2:$E$259,5))</f>
        <v>22</v>
      </c>
      <c r="I6" s="141"/>
    </row>
    <row r="7" spans="1:9" ht="11.25">
      <c r="A7" s="76">
        <v>7</v>
      </c>
      <c r="B7" s="78">
        <v>48</v>
      </c>
      <c r="C7" s="78">
        <v>15</v>
      </c>
      <c r="D7" s="76" t="str">
        <f>IF($B7="","",VLOOKUP($B7,sez!$A$2:$B$259,2,"nepravda"))</f>
        <v>Bařinová Tereza</v>
      </c>
      <c r="E7" s="76" t="str">
        <f>IF($B7="","",VLOOKUP($B7,sez!$A$2:$D$259,4,"nepravda"))</f>
        <v>Agrotec Hustopeče</v>
      </c>
      <c r="F7" s="76" t="str">
        <f>IF($C7="","",VLOOKUP($C7,sez!$A$2:$B$259,2,"nepravda"))</f>
        <v>Samson Hynek</v>
      </c>
      <c r="G7" s="76" t="str">
        <f>IF($C7="","",VLOOKUP($C7,sez!$A$2:$D$259,4,"nepravda"))</f>
        <v>Agrotec Hustopeče</v>
      </c>
      <c r="H7" s="76">
        <f>IF(C7="","",VLOOKUP($B7,sez!$A$2:$E$259,5,"nepravda")+VLOOKUP($C7,sez!$A$2:$E$259,5))</f>
        <v>29</v>
      </c>
      <c r="I7" s="141"/>
    </row>
    <row r="8" spans="1:9" ht="11.25">
      <c r="A8" s="76">
        <v>8</v>
      </c>
      <c r="B8" s="78">
        <v>51</v>
      </c>
      <c r="C8" s="78">
        <v>11</v>
      </c>
      <c r="D8" s="76" t="str">
        <f>IF($B8="","",VLOOKUP($B8,sez!$A$2:$B$259,2,"nepravda"))</f>
        <v>Křepelová Kamila</v>
      </c>
      <c r="E8" s="76" t="str">
        <f>IF($B8="","",VLOOKUP($B8,sez!$A$2:$D$259,4,"nepravda"))</f>
        <v>STK Zbraslavec</v>
      </c>
      <c r="F8" s="76" t="str">
        <f>IF($C8="","",VLOOKUP($C8,sez!$A$2:$B$259,2,"nepravda"))</f>
        <v>Barták Lukáš</v>
      </c>
      <c r="G8" s="76" t="str">
        <f>IF($C8="","",VLOOKUP($C8,sez!$A$2:$D$259,4,"nepravda"))</f>
        <v>KST Kunštát</v>
      </c>
      <c r="H8" s="76">
        <f>IF(C8="","",VLOOKUP($B8,sez!$A$2:$E$259,5,"nepravda")+VLOOKUP($C8,sez!$A$2:$E$259,5))</f>
        <v>30</v>
      </c>
      <c r="I8" s="141"/>
    </row>
    <row r="9" spans="1:9" ht="11.25">
      <c r="A9" s="76">
        <v>9</v>
      </c>
      <c r="B9" s="78">
        <v>50</v>
      </c>
      <c r="C9" s="78">
        <v>13</v>
      </c>
      <c r="D9" s="76" t="str">
        <f>IF($B9="","",VLOOKUP($B9,sez!$A$2:$B$259,2,"nepravda"))</f>
        <v>Zídková Madlen</v>
      </c>
      <c r="E9" s="76" t="str">
        <f>IF($B9="","",VLOOKUP($B9,sez!$A$2:$D$259,4,"nepravda"))</f>
        <v>MSK Břeclav</v>
      </c>
      <c r="F9" s="76" t="str">
        <f>IF($C9="","",VLOOKUP($C9,sez!$A$2:$B$259,2,"nepravda"))</f>
        <v>Tuč Michal</v>
      </c>
      <c r="G9" s="76" t="str">
        <f>IF($C9="","",VLOOKUP($C9,sez!$A$2:$D$259,4,"nepravda"))</f>
        <v>Sokol Brno I</v>
      </c>
      <c r="H9" s="76">
        <f>IF(C9="","",VLOOKUP($B9,sez!$A$2:$E$259,5,"nepravda")+VLOOKUP($C9,sez!$A$2:$E$259,5))</f>
        <v>31</v>
      </c>
      <c r="I9" s="141"/>
    </row>
    <row r="10" spans="1:9" ht="11.25">
      <c r="A10" s="76">
        <v>10</v>
      </c>
      <c r="B10" s="78">
        <v>46</v>
      </c>
      <c r="C10" s="78">
        <v>24</v>
      </c>
      <c r="D10" s="76" t="str">
        <f>IF($B10="","",VLOOKUP($B10,sez!$A$2:$B$259,2,"nepravda"))</f>
        <v>Polanská Claudia</v>
      </c>
      <c r="E10" s="76" t="str">
        <f>IF($B10="","",VLOOKUP($B10,sez!$A$2:$D$259,4,"nepravda"))</f>
        <v>KST FOSFA LVA</v>
      </c>
      <c r="F10" s="76" t="str">
        <f>IF($C10="","",VLOOKUP($C10,sez!$A$2:$B$259,2,"nepravda"))</f>
        <v>Le Phuoc Vu</v>
      </c>
      <c r="G10" s="76" t="str">
        <f>IF($C10="","",VLOOKUP($C10,sez!$A$2:$D$259,4,"nepravda"))</f>
        <v>Sokol Znojmo-Orel Únanov</v>
      </c>
      <c r="H10" s="76">
        <f>IF(C10="","",VLOOKUP($B10,sez!$A$2:$E$259,5,"nepravda")+VLOOKUP($C10,sez!$A$2:$E$259,5))</f>
        <v>37</v>
      </c>
      <c r="I10" s="141"/>
    </row>
    <row r="11" spans="1:9" ht="11.25">
      <c r="A11" s="76">
        <v>11</v>
      </c>
      <c r="B11" s="78">
        <v>45</v>
      </c>
      <c r="C11" s="78">
        <v>26</v>
      </c>
      <c r="D11" s="76" t="str">
        <f>IF($B11="","",VLOOKUP($B11,sez!$A$2:$B$259,2,"nepravda"))</f>
        <v>Kotásková Julie</v>
      </c>
      <c r="E11" s="76" t="str">
        <f>IF($B11="","",VLOOKUP($B11,sez!$A$2:$D$259,4,"nepravda"))</f>
        <v>TJ Mikulčice</v>
      </c>
      <c r="F11" s="76" t="str">
        <f>IF($C11="","",VLOOKUP($C11,sez!$A$2:$B$259,2,"nepravda"))</f>
        <v>Kmenta Josef</v>
      </c>
      <c r="G11" s="76" t="str">
        <f>IF($C11="","",VLOOKUP($C11,sez!$A$2:$D$259,4,"nepravda"))</f>
        <v>SKST Hodonín</v>
      </c>
      <c r="H11" s="76">
        <f>IF(C11="","",VLOOKUP($B11,sez!$A$2:$E$259,5,"nepravda")+VLOOKUP($C11,sez!$A$2:$E$259,5))</f>
        <v>41</v>
      </c>
      <c r="I11" s="141"/>
    </row>
    <row r="12" spans="1:9" ht="11.25">
      <c r="A12" s="76">
        <v>12</v>
      </c>
      <c r="B12" s="78">
        <v>55</v>
      </c>
      <c r="C12" s="78">
        <v>14</v>
      </c>
      <c r="D12" s="76" t="str">
        <f>IF($B12="","",VLOOKUP($B12,sez!$A$2:$B$259,2,"nepravda"))</f>
        <v>Trávníčková Eliška</v>
      </c>
      <c r="E12" s="76" t="str">
        <f>IF($B12="","",VLOOKUP($B12,sez!$A$2:$D$259,4,"nepravda"))</f>
        <v>TJ Brno-Bystrc</v>
      </c>
      <c r="F12" s="76" t="str">
        <f>IF($C12="","",VLOOKUP($C12,sez!$A$2:$B$259,2,"nepravda"))</f>
        <v>Strnad Mikuláš</v>
      </c>
      <c r="G12" s="76" t="str">
        <f>IF($C12="","",VLOOKUP($C12,sez!$A$2:$D$259,4,"nepravda"))</f>
        <v>Sokol Brno I</v>
      </c>
      <c r="H12" s="76">
        <f>IF(C12="","",VLOOKUP($B12,sez!$A$2:$E$259,5,"nepravda")+VLOOKUP($C12,sez!$A$2:$E$259,5))</f>
        <v>1016</v>
      </c>
      <c r="I12" s="141"/>
    </row>
    <row r="13" spans="1:9" ht="11.25">
      <c r="A13" s="76">
        <v>13</v>
      </c>
      <c r="B13" s="78">
        <v>54</v>
      </c>
      <c r="C13" s="78">
        <v>19</v>
      </c>
      <c r="D13" s="76" t="str">
        <f>IF($B13="","",VLOOKUP($B13,sez!$A$2:$B$259,2,"nepravda"))</f>
        <v>Konkolová Julie</v>
      </c>
      <c r="E13" s="76" t="str">
        <f>IF($B13="","",VLOOKUP($B13,sez!$A$2:$D$259,4,"nepravda"))</f>
        <v>Rousínovec</v>
      </c>
      <c r="F13" s="76" t="str">
        <f>IF($C13="","",VLOOKUP($C13,sez!$A$2:$B$259,2,"nepravda"))</f>
        <v>Telecký Radovan</v>
      </c>
      <c r="G13" s="76" t="str">
        <f>IF($C13="","",VLOOKUP($C13,sez!$A$2:$D$259,4,"nepravda"))</f>
        <v>Orel Šlapanice</v>
      </c>
      <c r="H13" s="76">
        <f>IF(C13="","",VLOOKUP($B13,sez!$A$2:$E$259,5,"nepravda")+VLOOKUP($C13,sez!$A$2:$E$259,5))</f>
        <v>1022</v>
      </c>
      <c r="I13" s="141"/>
    </row>
    <row r="14" spans="1:9" ht="11.25">
      <c r="A14" s="76">
        <v>14</v>
      </c>
      <c r="B14" s="78">
        <v>53</v>
      </c>
      <c r="C14" s="78">
        <v>21</v>
      </c>
      <c r="D14" s="76" t="str">
        <f>IF($B14="","",VLOOKUP($B14,sez!$A$2:$B$259,2,"nepravda"))</f>
        <v>Tufová Laura</v>
      </c>
      <c r="E14" s="76" t="str">
        <f>IF($B14="","",VLOOKUP($B14,sez!$A$2:$D$259,4,"nepravda"))</f>
        <v>SKST Hodonín</v>
      </c>
      <c r="F14" s="76" t="str">
        <f>IF($C14="","",VLOOKUP($C14,sez!$A$2:$B$259,2,"nepravda"))</f>
        <v>Sýkora Tomáš</v>
      </c>
      <c r="G14" s="76" t="str">
        <f>IF($C14="","",VLOOKUP($C14,sez!$A$2:$D$259,4,"nepravda"))</f>
        <v>STP Mikulov</v>
      </c>
      <c r="H14" s="76">
        <f>IF(C14="","",VLOOKUP($B14,sez!$A$2:$E$259,5,"nepravda")+VLOOKUP($C14,sez!$A$2:$E$259,5))</f>
        <v>1024</v>
      </c>
      <c r="I14" s="141"/>
    </row>
    <row r="15" spans="1:9" ht="11.25">
      <c r="A15" s="76">
        <v>15</v>
      </c>
      <c r="B15" s="78">
        <v>56</v>
      </c>
      <c r="C15" s="78">
        <v>30</v>
      </c>
      <c r="D15" s="76" t="str">
        <f>IF($B15="","",VLOOKUP($B15,sez!$A$2:$B$259,2,"nepravda"))</f>
        <v>Hanáčková Lucie</v>
      </c>
      <c r="E15" s="76" t="str">
        <f>IF($B15="","",VLOOKUP($B15,sez!$A$2:$D$259,4,"nepravda"))</f>
        <v>MK Řeznovice</v>
      </c>
      <c r="F15" s="76" t="str">
        <f>IF($C15="","",VLOOKUP($C15,sez!$A$2:$B$259,2,"nepravda"))</f>
        <v>Kouřil Antonín</v>
      </c>
      <c r="G15" s="76" t="str">
        <f>IF($C15="","",VLOOKUP($C15,sez!$A$2:$D$259,4,"nepravda"))</f>
        <v>MK Řeznovice</v>
      </c>
      <c r="H15" s="76">
        <f>IF(C15="","",VLOOKUP($B15,sez!$A$2:$E$259,5,"nepravda")+VLOOKUP($C15,sez!$A$2:$E$259,5))</f>
        <v>1039</v>
      </c>
      <c r="I15" s="141"/>
    </row>
    <row r="16" spans="1:9" ht="11.25">
      <c r="A16" s="76">
        <v>16</v>
      </c>
      <c r="B16" s="78">
        <v>52</v>
      </c>
      <c r="C16" s="78">
        <v>32</v>
      </c>
      <c r="D16" s="76" t="str">
        <f>IF($B16="","",VLOOKUP($B16,sez!$A$2:$B$259,2,"nepravda"))</f>
        <v>Svobodová Kristýna</v>
      </c>
      <c r="E16" s="76" t="str">
        <f>IF($B16="","",VLOOKUP($B16,sez!$A$2:$D$259,4,"nepravda"))</f>
        <v>TJ Jiskra Strážnice</v>
      </c>
      <c r="F16" s="76" t="str">
        <f>IF($C16="","",VLOOKUP($C16,sez!$A$2:$B$259,2,"nepravda"))</f>
        <v>Peťura Patrik</v>
      </c>
      <c r="G16" s="76" t="str">
        <f>IF($C16="","",VLOOKUP($C16,sez!$A$2:$D$259,4,"nepravda"))</f>
        <v>TJ Jiskra Strážnice</v>
      </c>
      <c r="H16" s="76">
        <f>IF(C16="","",VLOOKUP($B16,sez!$A$2:$E$259,5,"nepravda")+VLOOKUP($C16,sez!$A$2:$E$259,5))</f>
        <v>1068</v>
      </c>
      <c r="I16" s="141"/>
    </row>
    <row r="17" spans="1:8" ht="11.25">
      <c r="A17" s="76">
        <v>17</v>
      </c>
      <c r="B17" s="127"/>
      <c r="C17" s="127"/>
      <c r="D17" s="128"/>
      <c r="E17" s="128"/>
      <c r="F17" s="128"/>
      <c r="G17" s="128"/>
      <c r="H17" s="128"/>
    </row>
    <row r="18" spans="1:8" ht="11.25">
      <c r="A18" s="76">
        <v>18</v>
      </c>
      <c r="B18" s="127"/>
      <c r="C18" s="127"/>
      <c r="D18" s="128"/>
      <c r="E18" s="128"/>
      <c r="F18" s="128"/>
      <c r="G18" s="128"/>
      <c r="H18" s="128"/>
    </row>
    <row r="19" spans="1:8" ht="11.25">
      <c r="A19" s="76">
        <v>19</v>
      </c>
      <c r="B19" s="127"/>
      <c r="C19" s="127"/>
      <c r="D19" s="128"/>
      <c r="E19" s="128"/>
      <c r="F19" s="128"/>
      <c r="G19" s="128"/>
      <c r="H19" s="128"/>
    </row>
    <row r="20" spans="1:8" ht="11.25">
      <c r="A20" s="76">
        <v>20</v>
      </c>
      <c r="B20" s="127"/>
      <c r="C20" s="127"/>
      <c r="D20" s="128"/>
      <c r="E20" s="128"/>
      <c r="F20" s="128"/>
      <c r="G20" s="128"/>
      <c r="H20" s="128"/>
    </row>
    <row r="21" spans="1:9" ht="11.25">
      <c r="A21" s="76">
        <v>21</v>
      </c>
      <c r="B21" s="78">
        <v>43</v>
      </c>
      <c r="C21" s="78">
        <v>44</v>
      </c>
      <c r="D21" s="76" t="str">
        <f>IF($B21="","",VLOOKUP($B21,sez!$A$2:$B$259,2,"nepravda"))</f>
        <v>Struhárová Jana</v>
      </c>
      <c r="E21" s="76" t="str">
        <f>IF($B21="","",VLOOKUP($B21,sez!$A$2:$D$259,4,"nepravda"))</f>
        <v>MSK Břeclav</v>
      </c>
      <c r="F21" s="76" t="str">
        <f>IF($C21="","",VLOOKUP($C21,sez!$A$2:$B$259,2,"nepravda"))</f>
        <v>Machová Adélka</v>
      </c>
      <c r="G21" s="76" t="str">
        <f>IF($C21="","",VLOOKUP($C21,sez!$A$2:$D$259,4,"nepravda"))</f>
        <v>STP Mikulov</v>
      </c>
      <c r="H21" s="76">
        <f>IF(C21="","",VLOOKUP($B21,sez!$A$2:$E$259,5,"nepravda")+VLOOKUP($C21,sez!$A$2:$E$259,5))</f>
        <v>11</v>
      </c>
      <c r="I21" s="142" t="s">
        <v>47</v>
      </c>
    </row>
    <row r="22" spans="1:9" ht="11.25">
      <c r="A22" s="76">
        <v>22</v>
      </c>
      <c r="B22" s="78">
        <v>42</v>
      </c>
      <c r="C22" s="78">
        <v>45</v>
      </c>
      <c r="D22" s="76" t="str">
        <f>IF($B22="","",VLOOKUP($B22,sez!$A$2:$B$259,2,"nepravda"))</f>
        <v>Báťková Pavlína</v>
      </c>
      <c r="E22" s="76" t="str">
        <f>IF($B22="","",VLOOKUP($B22,sez!$A$2:$D$259,4,"nepravda"))</f>
        <v>SKST Hodonín</v>
      </c>
      <c r="F22" s="76" t="str">
        <f>IF($C22="","",VLOOKUP($C22,sez!$A$2:$B$259,2,"nepravda"))</f>
        <v>Kotásková Julie</v>
      </c>
      <c r="G22" s="76" t="str">
        <f>IF($C22="","",VLOOKUP($C22,sez!$A$2:$D$259,4,"nepravda"))</f>
        <v>TJ Mikulčice</v>
      </c>
      <c r="H22" s="76">
        <f>IF(C22="","",VLOOKUP($B22,sez!$A$2:$E$259,5,"nepravda")+VLOOKUP($C22,sez!$A$2:$E$259,5))</f>
        <v>11</v>
      </c>
      <c r="I22" s="141"/>
    </row>
    <row r="23" spans="1:9" ht="11.25">
      <c r="A23" s="76">
        <v>23</v>
      </c>
      <c r="B23" s="78">
        <v>46</v>
      </c>
      <c r="C23" s="78">
        <v>47</v>
      </c>
      <c r="D23" s="76" t="str">
        <f>IF($B23="","",VLOOKUP($B23,sez!$A$2:$B$259,2,"nepravda"))</f>
        <v>Polanská Claudia</v>
      </c>
      <c r="E23" s="76" t="str">
        <f>IF($B23="","",VLOOKUP($B23,sez!$A$2:$D$259,4,"nepravda"))</f>
        <v>KST FOSFA LVA</v>
      </c>
      <c r="F23" s="76" t="str">
        <f>IF($C23="","",VLOOKUP($C23,sez!$A$2:$B$259,2,"nepravda"))</f>
        <v>Zechmeisterová Rebeka</v>
      </c>
      <c r="G23" s="76" t="str">
        <f>IF($C23="","",VLOOKUP($C23,sez!$A$2:$D$259,4,"nepravda"))</f>
        <v>KST FOSFA LVA</v>
      </c>
      <c r="H23" s="76">
        <f>IF(C23="","",VLOOKUP($B23,sez!$A$2:$E$259,5,"nepravda")+VLOOKUP($C23,sez!$A$2:$E$259,5))</f>
        <v>17</v>
      </c>
      <c r="I23" s="141"/>
    </row>
    <row r="24" spans="1:9" ht="11.25">
      <c r="A24" s="76">
        <v>24</v>
      </c>
      <c r="B24" s="78">
        <v>48</v>
      </c>
      <c r="C24" s="78">
        <v>50</v>
      </c>
      <c r="D24" s="76" t="str">
        <f>IF($B24="","",VLOOKUP($B24,sez!$A$2:$B$259,2,"nepravda"))</f>
        <v>Bařinová Tereza</v>
      </c>
      <c r="E24" s="76" t="str">
        <f>IF($B24="","",VLOOKUP($B24,sez!$A$2:$D$259,4,"nepravda"))</f>
        <v>Agrotec Hustopeče</v>
      </c>
      <c r="F24" s="76" t="str">
        <f>IF($C24="","",VLOOKUP($C24,sez!$A$2:$B$259,2,"nepravda"))</f>
        <v>Zídková Madlen</v>
      </c>
      <c r="G24" s="76" t="str">
        <f>IF($C24="","",VLOOKUP($C24,sez!$A$2:$D$259,4,"nepravda"))</f>
        <v>MSK Břeclav</v>
      </c>
      <c r="H24" s="76">
        <f>IF(C24="","",VLOOKUP($B24,sez!$A$2:$E$259,5,"nepravda")+VLOOKUP($C24,sez!$A$2:$E$259,5))</f>
        <v>26</v>
      </c>
      <c r="I24" s="141"/>
    </row>
    <row r="25" spans="1:9" ht="11.25">
      <c r="A25" s="76">
        <v>25</v>
      </c>
      <c r="B25" s="78">
        <v>41</v>
      </c>
      <c r="C25" s="78">
        <v>55</v>
      </c>
      <c r="D25" s="76" t="str">
        <f>IF($B25="","",VLOOKUP($B25,sez!$A$2:$B$259,2,"nepravda"))</f>
        <v>Cupáková Bára</v>
      </c>
      <c r="E25" s="76" t="str">
        <f>IF($B25="","",VLOOKUP($B25,sez!$A$2:$D$259,4,"nepravda"))</f>
        <v>KST FOSFA LVA</v>
      </c>
      <c r="F25" s="76" t="str">
        <f>IF($C25="","",VLOOKUP($C25,sez!$A$2:$B$259,2,"nepravda"))</f>
        <v>Trávníčková Eliška</v>
      </c>
      <c r="G25" s="76" t="str">
        <f>IF($C25="","",VLOOKUP($C25,sez!$A$2:$D$259,4,"nepravda"))</f>
        <v>TJ Brno-Bystrc</v>
      </c>
      <c r="H25" s="76">
        <f>IF(C25="","",VLOOKUP($B25,sez!$A$2:$E$259,5,"nepravda")+VLOOKUP($C25,sez!$A$2:$E$259,5))</f>
        <v>1001</v>
      </c>
      <c r="I25" s="141"/>
    </row>
    <row r="26" spans="1:9" ht="11.25">
      <c r="A26" s="76">
        <v>26</v>
      </c>
      <c r="B26" s="78">
        <v>49</v>
      </c>
      <c r="C26" s="78">
        <v>53</v>
      </c>
      <c r="D26" s="76" t="str">
        <f>IF($B26="","",VLOOKUP($B26,sez!$A$2:$B$259,2,"nepravda"))</f>
        <v>Bravencová Karolína</v>
      </c>
      <c r="E26" s="76" t="str">
        <f>IF($B26="","",VLOOKUP($B26,sez!$A$2:$D$259,4,"nepravda"))</f>
        <v>Josefov</v>
      </c>
      <c r="F26" s="76" t="str">
        <f>IF($C26="","",VLOOKUP($C26,sez!$A$2:$B$259,2,"nepravda"))</f>
        <v>Tufová Laura</v>
      </c>
      <c r="G26" s="76" t="str">
        <f>IF($C26="","",VLOOKUP($C26,sez!$A$2:$D$259,4,"nepravda"))</f>
        <v>SKST Hodonín</v>
      </c>
      <c r="H26" s="76">
        <f>IF(C26="","",VLOOKUP($B26,sez!$A$2:$E$259,5,"nepravda")+VLOOKUP($C26,sez!$A$2:$E$259,5))</f>
        <v>1012</v>
      </c>
      <c r="I26" s="141"/>
    </row>
    <row r="27" spans="1:9" ht="11.25">
      <c r="A27" s="76">
        <v>27</v>
      </c>
      <c r="B27" s="78">
        <v>51</v>
      </c>
      <c r="C27" s="78">
        <v>52</v>
      </c>
      <c r="D27" s="76" t="str">
        <f>IF($B27="","",VLOOKUP($B27,sez!$A$2:$B$259,2,"nepravda"))</f>
        <v>Křepelová Kamila</v>
      </c>
      <c r="E27" s="76" t="str">
        <f>IF($B27="","",VLOOKUP($B27,sez!$A$2:$D$259,4,"nepravda"))</f>
        <v>STK Zbraslavec</v>
      </c>
      <c r="F27" s="76" t="str">
        <f>IF($C27="","",VLOOKUP($C27,sez!$A$2:$B$259,2,"nepravda"))</f>
        <v>Svobodová Kristýna</v>
      </c>
      <c r="G27" s="76" t="str">
        <f>IF($C27="","",VLOOKUP($C27,sez!$A$2:$D$259,4,"nepravda"))</f>
        <v>TJ Jiskra Strážnice</v>
      </c>
      <c r="H27" s="76">
        <f>IF(C27="","",VLOOKUP($B27,sez!$A$2:$E$259,5,"nepravda")+VLOOKUP($C27,sez!$A$2:$E$259,5))</f>
        <v>1015</v>
      </c>
      <c r="I27" s="141"/>
    </row>
    <row r="28" spans="1:9" ht="11.25">
      <c r="A28" s="76">
        <v>28</v>
      </c>
      <c r="B28" s="78">
        <v>54</v>
      </c>
      <c r="C28" s="78">
        <v>56</v>
      </c>
      <c r="D28" s="76" t="str">
        <f>IF($B28="","",VLOOKUP($B28,sez!$A$2:$B$259,2,"nepravda"))</f>
        <v>Konkolová Julie</v>
      </c>
      <c r="E28" s="76" t="str">
        <f>IF($B28="","",VLOOKUP($B28,sez!$A$2:$D$259,4,"nepravda"))</f>
        <v>Rousínovec</v>
      </c>
      <c r="F28" s="76" t="str">
        <f>IF($C28="","",VLOOKUP($C28,sez!$A$2:$B$259,2,"nepravda"))</f>
        <v>Hanáčková Lucie</v>
      </c>
      <c r="G28" s="76" t="str">
        <f>IF($C28="","",VLOOKUP($C28,sez!$A$2:$D$259,4,"nepravda"))</f>
        <v>MK Řeznovice</v>
      </c>
      <c r="H28" s="76">
        <f>IF(C28="","",VLOOKUP($B28,sez!$A$2:$E$259,5,"nepravda")+VLOOKUP($C28,sez!$A$2:$E$259,5))</f>
        <v>1998</v>
      </c>
      <c r="I28" s="141"/>
    </row>
    <row r="29" spans="1:8" ht="11.25">
      <c r="A29" s="76">
        <v>29</v>
      </c>
      <c r="B29" s="127"/>
      <c r="C29" s="127"/>
      <c r="D29" s="128"/>
      <c r="E29" s="128"/>
      <c r="F29" s="128"/>
      <c r="G29" s="128"/>
      <c r="H29" s="128"/>
    </row>
    <row r="30" spans="1:8" ht="11.25">
      <c r="A30" s="76">
        <v>30</v>
      </c>
      <c r="B30" s="127"/>
      <c r="C30" s="127"/>
      <c r="D30" s="128"/>
      <c r="E30" s="128"/>
      <c r="F30" s="128"/>
      <c r="G30" s="128"/>
      <c r="H30" s="128"/>
    </row>
    <row r="31" spans="1:9" ht="11.25">
      <c r="A31" s="76">
        <v>31</v>
      </c>
      <c r="B31" s="78">
        <v>1</v>
      </c>
      <c r="C31" s="78">
        <v>2</v>
      </c>
      <c r="D31" s="76" t="str">
        <f>IF($B31="","",VLOOKUP($B31,sez!$A$2:$B$259,2,"nepravda"))</f>
        <v>Flajšar Pavel</v>
      </c>
      <c r="E31" s="76" t="str">
        <f>IF($B31="","",VLOOKUP($B31,sez!$A$2:$D$259,4,"nepravda"))</f>
        <v>SKST N. Lískovec</v>
      </c>
      <c r="F31" s="76" t="str">
        <f>IF($C31="","",VLOOKUP($C31,sez!$A$2:$B$259,2,"nepravda"))</f>
        <v>Vokřínek Tomáš</v>
      </c>
      <c r="G31" s="76" t="str">
        <f>IF($C31="","",VLOOKUP($C31,sez!$A$2:$D$259,4,"nepravda"))</f>
        <v>MS Brno</v>
      </c>
      <c r="H31" s="76">
        <f>IF(C31="","",VLOOKUP($B31,sez!$A$2:$E$259,5,"nepravda")+VLOOKUP($C31,sez!$A$2:$E$259,5))</f>
        <v>5</v>
      </c>
      <c r="I31" s="142" t="s">
        <v>48</v>
      </c>
    </row>
    <row r="32" spans="1:9" ht="11.25">
      <c r="A32" s="76">
        <v>32</v>
      </c>
      <c r="B32" s="78">
        <v>3</v>
      </c>
      <c r="C32" s="78">
        <v>7</v>
      </c>
      <c r="D32" s="76" t="str">
        <f>IF($B32="","",VLOOKUP($B32,sez!$A$2:$B$259,2,"nepravda"))</f>
        <v>Cupák Jakub</v>
      </c>
      <c r="E32" s="76" t="str">
        <f>IF($B32="","",VLOOKUP($B32,sez!$A$2:$D$259,4,"nepravda"))</f>
        <v>KST FOSFA LVA</v>
      </c>
      <c r="F32" s="76" t="str">
        <f>IF($C32="","",VLOOKUP($C32,sez!$A$2:$B$259,2,"nepravda"))</f>
        <v>Herman Jan</v>
      </c>
      <c r="G32" s="76" t="str">
        <f>IF($C32="","",VLOOKUP($C32,sez!$A$2:$D$259,4,"nepravda"))</f>
        <v>KST FOSFA LVA</v>
      </c>
      <c r="H32" s="76">
        <f>IF(C32="","",VLOOKUP($B32,sez!$A$2:$E$259,5,"nepravda")+VLOOKUP($C32,sez!$A$2:$E$259,5))</f>
        <v>14</v>
      </c>
      <c r="I32" s="141"/>
    </row>
    <row r="33" spans="1:9" ht="11.25">
      <c r="A33" s="76">
        <v>33</v>
      </c>
      <c r="B33" s="78">
        <v>5</v>
      </c>
      <c r="C33" s="78">
        <v>8</v>
      </c>
      <c r="D33" s="76" t="str">
        <f>IF($B33="","",VLOOKUP($B33,sez!$A$2:$B$259,2,"nepravda"))</f>
        <v>Solfronk Adam</v>
      </c>
      <c r="E33" s="76" t="str">
        <f>IF($B33="","",VLOOKUP($B33,sez!$A$2:$D$259,4,"nepravda"))</f>
        <v>MS Brno</v>
      </c>
      <c r="F33" s="76" t="str">
        <f>IF($C33="","",VLOOKUP($C33,sez!$A$2:$B$259,2,"nepravda"))</f>
        <v>Dvorský Vojtěch</v>
      </c>
      <c r="G33" s="76" t="str">
        <f>IF($C33="","",VLOOKUP($C33,sez!$A$2:$D$259,4,"nepravda"))</f>
        <v>MS Brno</v>
      </c>
      <c r="H33" s="76">
        <f>IF(C33="","",VLOOKUP($B33,sez!$A$2:$E$259,5,"nepravda")+VLOOKUP($C33,sez!$A$2:$E$259,5))</f>
        <v>17</v>
      </c>
      <c r="I33" s="141"/>
    </row>
    <row r="34" spans="1:9" ht="11.25">
      <c r="A34" s="76">
        <v>34</v>
      </c>
      <c r="B34" s="78">
        <v>4</v>
      </c>
      <c r="C34" s="78">
        <v>12</v>
      </c>
      <c r="D34" s="76" t="str">
        <f>IF($B34="","",VLOOKUP($B34,sez!$A$2:$B$259,2,"nepravda"))</f>
        <v>Štěpánek Adam</v>
      </c>
      <c r="E34" s="76" t="str">
        <f>IF($B34="","",VLOOKUP($B34,sez!$A$2:$D$259,4,"nepravda"))</f>
        <v>STP Mikulov</v>
      </c>
      <c r="F34" s="76" t="str">
        <f>IF($C34="","",VLOOKUP($C34,sez!$A$2:$B$259,2,"nepravda"))</f>
        <v>Jež Vítek</v>
      </c>
      <c r="G34" s="76" t="str">
        <f>IF($C34="","",VLOOKUP($C34,sez!$A$2:$D$259,4,"nepravda"))</f>
        <v>STP Mikulov</v>
      </c>
      <c r="H34" s="76">
        <f>IF(C34="","",VLOOKUP($B34,sez!$A$2:$E$259,5,"nepravda")+VLOOKUP($C34,sez!$A$2:$E$259,5))</f>
        <v>20</v>
      </c>
      <c r="I34" s="141"/>
    </row>
    <row r="35" spans="1:9" ht="11.25">
      <c r="A35" s="76">
        <v>35</v>
      </c>
      <c r="B35" s="78">
        <v>6</v>
      </c>
      <c r="C35" s="78">
        <v>16</v>
      </c>
      <c r="D35" s="76" t="str">
        <f>IF($B35="","",VLOOKUP($B35,sez!$A$2:$B$259,2,"nepravda"))</f>
        <v>Koudelka David</v>
      </c>
      <c r="E35" s="76" t="str">
        <f>IF($B35="","",VLOOKUP($B35,sez!$A$2:$D$259,4,"nepravda"))</f>
        <v>MS Brno</v>
      </c>
      <c r="F35" s="76" t="str">
        <f>IF($C35="","",VLOOKUP($C35,sez!$A$2:$B$259,2,"nepravda"))</f>
        <v>Čelko Ondřej</v>
      </c>
      <c r="G35" s="76" t="str">
        <f>IF($C35="","",VLOOKUP($C35,sez!$A$2:$D$259,4,"nepravda"))</f>
        <v>Sokol Líšeň</v>
      </c>
      <c r="H35" s="76">
        <f>IF(C35="","",VLOOKUP($B35,sez!$A$2:$E$259,5,"nepravda")+VLOOKUP($C35,sez!$A$2:$E$259,5))</f>
        <v>28</v>
      </c>
      <c r="I35" s="141"/>
    </row>
    <row r="36" spans="1:9" ht="11.25">
      <c r="A36" s="76">
        <v>36</v>
      </c>
      <c r="B36" s="78">
        <v>13</v>
      </c>
      <c r="C36" s="78">
        <v>18</v>
      </c>
      <c r="D36" s="76" t="str">
        <f>IF($B36="","",VLOOKUP($B36,sez!$A$2:$B$259,2,"nepravda"))</f>
        <v>Tuč Michal</v>
      </c>
      <c r="E36" s="76" t="str">
        <f>IF($B36="","",VLOOKUP($B36,sez!$A$2:$D$259,4,"nepravda"))</f>
        <v>Sokol Brno I</v>
      </c>
      <c r="F36" s="76" t="str">
        <f>IF($C36="","",VLOOKUP($C36,sez!$A$2:$B$259,2,"nepravda"))</f>
        <v>Čermák Jan</v>
      </c>
      <c r="G36" s="76" t="str">
        <f>IF($C36="","",VLOOKUP($C36,sez!$A$2:$D$259,4,"nepravda"))</f>
        <v>Sokol Brno I</v>
      </c>
      <c r="H36" s="76">
        <f>IF(C36="","",VLOOKUP($B36,sez!$A$2:$E$259,5,"nepravda")+VLOOKUP($C36,sez!$A$2:$E$259,5))</f>
        <v>38</v>
      </c>
      <c r="I36" s="141"/>
    </row>
    <row r="37" spans="1:9" ht="11.25">
      <c r="A37" s="76">
        <v>37</v>
      </c>
      <c r="B37" s="78">
        <v>17</v>
      </c>
      <c r="C37" s="78">
        <v>21</v>
      </c>
      <c r="D37" s="76" t="str">
        <f>IF($B37="","",VLOOKUP($B37,sez!$A$2:$B$259,2,"nepravda"))</f>
        <v>Sýkora Marek</v>
      </c>
      <c r="E37" s="76" t="str">
        <f>IF($B37="","",VLOOKUP($B37,sez!$A$2:$D$259,4,"nepravda"))</f>
        <v>STP Mikulov</v>
      </c>
      <c r="F37" s="76" t="str">
        <f>IF($C37="","",VLOOKUP($C37,sez!$A$2:$B$259,2,"nepravda"))</f>
        <v>Sýkora Tomáš</v>
      </c>
      <c r="G37" s="76" t="str">
        <f>IF($C37="","",VLOOKUP($C37,sez!$A$2:$D$259,4,"nepravda"))</f>
        <v>STP Mikulov</v>
      </c>
      <c r="H37" s="76">
        <f>IF(C37="","",VLOOKUP($B37,sez!$A$2:$E$259,5,"nepravda")+VLOOKUP($C37,sez!$A$2:$E$259,5))</f>
        <v>46</v>
      </c>
      <c r="I37" s="141"/>
    </row>
    <row r="38" spans="1:9" ht="11.25">
      <c r="A38" s="76">
        <v>38</v>
      </c>
      <c r="B38" s="78">
        <v>9</v>
      </c>
      <c r="C38" s="78">
        <v>26</v>
      </c>
      <c r="D38" s="76" t="str">
        <f>IF($B38="","",VLOOKUP($B38,sez!$A$2:$B$259,2,"nepravda"))</f>
        <v>Macánek Martin</v>
      </c>
      <c r="E38" s="76" t="str">
        <f>IF($B38="","",VLOOKUP($B38,sez!$A$2:$D$259,4,"nepravda"))</f>
        <v>SKST Hodonín</v>
      </c>
      <c r="F38" s="76" t="str">
        <f>IF($C38="","",VLOOKUP($C38,sez!$A$2:$B$259,2,"nepravda"))</f>
        <v>Kmenta Josef</v>
      </c>
      <c r="G38" s="76" t="str">
        <f>IF($C38="","",VLOOKUP($C38,sez!$A$2:$D$259,4,"nepravda"))</f>
        <v>SKST Hodonín</v>
      </c>
      <c r="H38" s="76">
        <f>IF(C38="","",VLOOKUP($B38,sez!$A$2:$E$259,5,"nepravda")+VLOOKUP($C38,sez!$A$2:$E$259,5))</f>
        <v>46</v>
      </c>
      <c r="I38" s="141"/>
    </row>
    <row r="39" spans="1:9" ht="11.25">
      <c r="A39" s="76">
        <v>39</v>
      </c>
      <c r="B39" s="78">
        <v>14</v>
      </c>
      <c r="C39" s="78">
        <v>25</v>
      </c>
      <c r="D39" s="76" t="str">
        <f>IF($B39="","",VLOOKUP($B39,sez!$A$2:$B$259,2,"nepravda"))</f>
        <v>Strnad Mikuláš</v>
      </c>
      <c r="E39" s="76" t="str">
        <f>IF($B39="","",VLOOKUP($B39,sez!$A$2:$D$259,4,"nepravda"))</f>
        <v>Sokol Brno I</v>
      </c>
      <c r="F39" s="76" t="str">
        <f>IF($C39="","",VLOOKUP($C39,sez!$A$2:$B$259,2,"nepravda"))</f>
        <v>Vlk Oliver</v>
      </c>
      <c r="G39" s="76" t="str">
        <f>IF($C39="","",VLOOKUP($C39,sez!$A$2:$D$259,4,"nepravda"))</f>
        <v>Sokol Brno I</v>
      </c>
      <c r="H39" s="76">
        <f>IF(C39="","",VLOOKUP($B39,sez!$A$2:$E$259,5,"nepravda")+VLOOKUP($C39,sez!$A$2:$E$259,5))</f>
        <v>48</v>
      </c>
      <c r="I39" s="141"/>
    </row>
    <row r="40" spans="1:9" ht="11.25">
      <c r="A40" s="76">
        <v>40</v>
      </c>
      <c r="B40" s="78">
        <v>11</v>
      </c>
      <c r="C40" s="78">
        <v>27</v>
      </c>
      <c r="D40" s="76" t="str">
        <f>IF($B40="","",VLOOKUP($B40,sez!$A$2:$B$259,2,"nepravda"))</f>
        <v>Barták Lukáš</v>
      </c>
      <c r="E40" s="76" t="str">
        <f>IF($B40="","",VLOOKUP($B40,sez!$A$2:$D$259,4,"nepravda"))</f>
        <v>KST Kunštát</v>
      </c>
      <c r="F40" s="76" t="str">
        <f>IF($C40="","",VLOOKUP($C40,sez!$A$2:$B$259,2,"nepravda"))</f>
        <v>Chloupek Tomáš</v>
      </c>
      <c r="G40" s="76" t="str">
        <f>IF($C40="","",VLOOKUP($C40,sez!$A$2:$D$259,4,"nepravda"))</f>
        <v>KST Kunštát</v>
      </c>
      <c r="H40" s="76">
        <f>IF(C40="","",VLOOKUP($B40,sez!$A$2:$E$259,5,"nepravda")+VLOOKUP($C40,sez!$A$2:$E$259,5))</f>
        <v>49</v>
      </c>
      <c r="I40" s="141"/>
    </row>
    <row r="41" spans="1:9" ht="11.25">
      <c r="A41" s="76">
        <v>41</v>
      </c>
      <c r="B41" s="78">
        <v>10</v>
      </c>
      <c r="C41" s="78">
        <v>28</v>
      </c>
      <c r="D41" s="76" t="str">
        <f>IF($B41="","",VLOOKUP($B41,sez!$A$2:$B$259,2,"nepravda"))</f>
        <v>Křepela David</v>
      </c>
      <c r="E41" s="76" t="str">
        <f>IF($B41="","",VLOOKUP($B41,sez!$A$2:$D$259,4,"nepravda"))</f>
        <v>STK Zbraslavec</v>
      </c>
      <c r="F41" s="76" t="str">
        <f>IF($C41="","",VLOOKUP($C41,sez!$A$2:$B$259,2,"nepravda"))</f>
        <v>Veselý Eliáš</v>
      </c>
      <c r="G41" s="76" t="str">
        <f>IF($C41="","",VLOOKUP($C41,sez!$A$2:$D$259,4,"nepravda"))</f>
        <v>KST Vyškov</v>
      </c>
      <c r="H41" s="76">
        <f>IF(C41="","",VLOOKUP($B41,sez!$A$2:$E$259,5,"nepravda")+VLOOKUP($C41,sez!$A$2:$E$259,5))</f>
        <v>51</v>
      </c>
      <c r="I41" s="141"/>
    </row>
    <row r="42" spans="1:9" ht="11.25">
      <c r="A42" s="76">
        <v>42</v>
      </c>
      <c r="B42" s="78">
        <v>22</v>
      </c>
      <c r="C42" s="78">
        <v>23</v>
      </c>
      <c r="D42" s="76" t="str">
        <f>IF($B42="","",VLOOKUP($B42,sez!$A$2:$B$259,2,"nepravda"))</f>
        <v>Králík Jakub</v>
      </c>
      <c r="E42" s="76" t="str">
        <f>IF($B42="","",VLOOKUP($B42,sez!$A$2:$D$259,4,"nepravda"))</f>
        <v>MS Brno</v>
      </c>
      <c r="F42" s="76" t="str">
        <f>IF($C42="","",VLOOKUP($C42,sez!$A$2:$B$259,2,"nepravda"))</f>
        <v>Veselý Michael</v>
      </c>
      <c r="G42" s="76" t="str">
        <f>IF($C42="","",VLOOKUP($C42,sez!$A$2:$D$259,4,"nepravda"))</f>
        <v>MS Brno</v>
      </c>
      <c r="H42" s="76">
        <f>IF(C42="","",VLOOKUP($B42,sez!$A$2:$E$259,5,"nepravda")+VLOOKUP($C42,sez!$A$2:$E$259,5))</f>
        <v>53</v>
      </c>
      <c r="I42" s="141"/>
    </row>
    <row r="43" spans="1:9" ht="11.25">
      <c r="A43" s="76">
        <v>43</v>
      </c>
      <c r="B43" s="78">
        <v>19</v>
      </c>
      <c r="C43" s="78">
        <v>30</v>
      </c>
      <c r="D43" s="76" t="str">
        <f>IF($B43="","",VLOOKUP($B43,sez!$A$2:$B$259,2,"nepravda"))</f>
        <v>Telecký Radovan</v>
      </c>
      <c r="E43" s="76" t="str">
        <f>IF($B43="","",VLOOKUP($B43,sez!$A$2:$D$259,4,"nepravda"))</f>
        <v>Orel Šlapanice</v>
      </c>
      <c r="F43" s="76" t="str">
        <f>IF($C43="","",VLOOKUP($C43,sez!$A$2:$B$259,2,"nepravda"))</f>
        <v>Kouřil Antonín</v>
      </c>
      <c r="G43" s="76" t="str">
        <f>IF($C43="","",VLOOKUP($C43,sez!$A$2:$D$259,4,"nepravda"))</f>
        <v>MK Řeznovice</v>
      </c>
      <c r="H43" s="76">
        <f>IF(C43="","",VLOOKUP($B43,sez!$A$2:$E$259,5,"nepravda")+VLOOKUP($C43,sez!$A$2:$E$259,5))</f>
        <v>63</v>
      </c>
      <c r="I43" s="141"/>
    </row>
    <row r="44" spans="1:9" ht="11.25">
      <c r="A44" s="76">
        <v>44</v>
      </c>
      <c r="B44" s="78">
        <v>24</v>
      </c>
      <c r="C44" s="78">
        <v>29</v>
      </c>
      <c r="D44" s="76" t="str">
        <f>IF($B44="","",VLOOKUP($B44,sez!$A$2:$B$259,2,"nepravda"))</f>
        <v>Le Phuoc Vu</v>
      </c>
      <c r="E44" s="76" t="str">
        <f>IF($B44="","",VLOOKUP($B44,sez!$A$2:$D$259,4,"nepravda"))</f>
        <v>Sokol Znojmo-Orel Únanov</v>
      </c>
      <c r="F44" s="76" t="str">
        <f>IF($C44="","",VLOOKUP($C44,sez!$A$2:$B$259,2,"nepravda"))</f>
        <v>Nevěčný Milan</v>
      </c>
      <c r="G44" s="76" t="str">
        <f>IF($C44="","",VLOOKUP($C44,sez!$A$2:$D$259,4,"nepravda"))</f>
        <v>Sokol Znojmo-Orel Únanov</v>
      </c>
      <c r="H44" s="76">
        <f>IF(C44="","",VLOOKUP($B44,sez!$A$2:$E$259,5,"nepravda")+VLOOKUP($C44,sez!$A$2:$E$259,5))</f>
        <v>67</v>
      </c>
      <c r="I44" s="141"/>
    </row>
    <row r="45" spans="1:9" ht="11.25">
      <c r="A45" s="76">
        <v>45</v>
      </c>
      <c r="B45" s="78">
        <v>20</v>
      </c>
      <c r="C45" s="78">
        <v>31</v>
      </c>
      <c r="D45" s="76" t="str">
        <f>IF($B45="","",VLOOKUP($B45,sez!$A$2:$B$259,2,"nepravda"))</f>
        <v>Sedláček Matěj</v>
      </c>
      <c r="E45" s="76" t="str">
        <f>IF($B45="","",VLOOKUP($B45,sez!$A$2:$D$259,4,"nepravda"))</f>
        <v>Agrotec Hustopeče</v>
      </c>
      <c r="F45" s="76" t="str">
        <f>IF($C45="","",VLOOKUP($C45,sez!$A$2:$B$259,2,"nepravda"))</f>
        <v>Topinka Vojtěch</v>
      </c>
      <c r="G45" s="76" t="str">
        <f>IF($C45="","",VLOOKUP($C45,sez!$A$2:$D$259,4,"nepravda"))</f>
        <v>Agrotec Hustopeče</v>
      </c>
      <c r="H45" s="76">
        <f>IF(C45="","",VLOOKUP($B45,sez!$A$2:$E$259,5,"nepravda")+VLOOKUP($C45,sez!$A$2:$E$259,5))</f>
        <v>73</v>
      </c>
      <c r="I45" s="141"/>
    </row>
    <row r="46" spans="1:9" ht="11.25">
      <c r="A46" s="76">
        <v>46</v>
      </c>
      <c r="B46" s="78">
        <v>15</v>
      </c>
      <c r="C46" s="78">
        <v>32</v>
      </c>
      <c r="D46" s="76" t="str">
        <f>IF($B46="","",VLOOKUP($B46,sez!$A$2:$B$259,2,"nepravda"))</f>
        <v>Samson Hynek</v>
      </c>
      <c r="E46" s="76" t="str">
        <f>IF($B46="","",VLOOKUP($B46,sez!$A$2:$D$259,4,"nepravda"))</f>
        <v>Agrotec Hustopeče</v>
      </c>
      <c r="F46" s="76" t="str">
        <f>IF($C46="","",VLOOKUP($C46,sez!$A$2:$B$259,2,"nepravda"))</f>
        <v>Peťura Patrik</v>
      </c>
      <c r="G46" s="76" t="str">
        <f>IF($C46="","",VLOOKUP($C46,sez!$A$2:$D$259,4,"nepravda"))</f>
        <v>TJ Jiskra Strážnice</v>
      </c>
      <c r="H46" s="76">
        <f>IF(C46="","",VLOOKUP($B46,sez!$A$2:$E$259,5,"nepravda")+VLOOKUP($C46,sez!$A$2:$E$259,5))</f>
        <v>87</v>
      </c>
      <c r="I46" s="141"/>
    </row>
  </sheetData>
  <sheetProtection/>
  <mergeCells count="3">
    <mergeCell ref="I1:I16"/>
    <mergeCell ref="I21:I28"/>
    <mergeCell ref="I31:I4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zoomScaleSheetLayoutView="100" zoomScalePageLayoutView="0" workbookViewId="0" topLeftCell="A1">
      <selection activeCell="B51" sqref="B51"/>
    </sheetView>
  </sheetViews>
  <sheetFormatPr defaultColWidth="9.00390625" defaultRowHeight="15" customHeight="1"/>
  <cols>
    <col min="1" max="1" width="3.375" style="25" customWidth="1"/>
    <col min="2" max="2" width="31.125" style="25" bestFit="1" customWidth="1"/>
    <col min="3" max="8" width="5.00390625" style="25" customWidth="1"/>
    <col min="9" max="9" width="1.625" style="25" customWidth="1"/>
    <col min="10" max="10" width="30.875" style="25" bestFit="1" customWidth="1"/>
    <col min="11" max="11" width="18.75390625" style="25" bestFit="1" customWidth="1"/>
    <col min="12" max="12" width="4.375" style="25" customWidth="1"/>
    <col min="13" max="13" width="24.125" style="25" bestFit="1" customWidth="1"/>
    <col min="14" max="14" width="5.25390625" style="25" bestFit="1" customWidth="1"/>
    <col min="15" max="15" width="14.375" style="25" bestFit="1" customWidth="1"/>
    <col min="16" max="16" width="3.75390625" style="25" customWidth="1"/>
    <col min="17" max="17" width="4.75390625" style="25" bestFit="1" customWidth="1"/>
    <col min="18" max="18" width="14.375" style="25" bestFit="1" customWidth="1"/>
    <col min="19" max="19" width="2.875" style="25" customWidth="1"/>
    <col min="20" max="24" width="5.00390625" style="25" bestFit="1" customWidth="1"/>
    <col min="25" max="26" width="5.125" style="25" customWidth="1"/>
    <col min="27" max="27" width="5.625" style="25" bestFit="1" customWidth="1"/>
    <col min="28" max="28" width="4.375" style="25" customWidth="1"/>
    <col min="29" max="29" width="8.125" style="25" bestFit="1" customWidth="1"/>
    <col min="30" max="30" width="3.375" style="25" customWidth="1"/>
    <col min="31" max="32" width="3.125" style="123" customWidth="1"/>
    <col min="33" max="33" width="1.875" style="123" customWidth="1"/>
    <col min="34" max="38" width="3.125" style="123" customWidth="1"/>
    <col min="39" max="39" width="3.00390625" style="25" customWidth="1"/>
    <col min="40" max="42" width="0" style="25" hidden="1" customWidth="1"/>
    <col min="43" max="16384" width="9.125" style="25" customWidth="1"/>
  </cols>
  <sheetData>
    <row r="1" spans="1:7" ht="20.25">
      <c r="A1" s="3" t="str">
        <f>úvod!C6</f>
        <v>krajské přebory</v>
      </c>
      <c r="B1" s="2"/>
      <c r="C1" s="2"/>
      <c r="D1" s="2"/>
      <c r="E1" s="2"/>
      <c r="F1" s="2"/>
      <c r="G1" s="2"/>
    </row>
    <row r="2" spans="1:11" ht="20.25">
      <c r="A2" s="4"/>
      <c r="B2" s="2"/>
      <c r="C2" s="2"/>
      <c r="D2" s="2"/>
      <c r="E2" s="2"/>
      <c r="F2" s="2"/>
      <c r="G2" s="20"/>
      <c r="K2" s="20" t="str">
        <f>CONCATENATE("Dvouhra ",úvod!C8," M - 1.stupeň")</f>
        <v>Dvouhra U13 M - 1.stupeň</v>
      </c>
    </row>
    <row r="3" spans="1:40" ht="15" customHeight="1" thickBot="1">
      <c r="A3" s="2"/>
      <c r="B3" s="2"/>
      <c r="C3" s="4"/>
      <c r="D3" s="2"/>
      <c r="E3" s="2"/>
      <c r="F3" s="2"/>
      <c r="G3" s="15"/>
      <c r="K3" s="81"/>
      <c r="M3" s="26" t="str">
        <f>B4</f>
        <v>Skupina A</v>
      </c>
      <c r="N3" s="26" t="s">
        <v>0</v>
      </c>
      <c r="O3" s="26" t="s">
        <v>1</v>
      </c>
      <c r="P3" s="26" t="s">
        <v>2</v>
      </c>
      <c r="Q3" s="26" t="s">
        <v>0</v>
      </c>
      <c r="R3" s="26" t="s">
        <v>3</v>
      </c>
      <c r="S3" s="26" t="s">
        <v>2</v>
      </c>
      <c r="T3" s="27" t="s">
        <v>4</v>
      </c>
      <c r="U3" s="27" t="s">
        <v>5</v>
      </c>
      <c r="V3" s="27" t="s">
        <v>6</v>
      </c>
      <c r="W3" s="27" t="s">
        <v>7</v>
      </c>
      <c r="X3" s="27" t="s">
        <v>8</v>
      </c>
      <c r="Y3" s="26" t="s">
        <v>9</v>
      </c>
      <c r="Z3" s="26" t="s">
        <v>10</v>
      </c>
      <c r="AA3" s="26" t="s">
        <v>11</v>
      </c>
      <c r="AN3" s="25" t="s">
        <v>18</v>
      </c>
    </row>
    <row r="4" spans="1:42" ht="16.5" customHeight="1" thickBot="1" thickTop="1">
      <c r="A4" s="43"/>
      <c r="B4" s="44" t="s">
        <v>20</v>
      </c>
      <c r="C4" s="45">
        <v>1</v>
      </c>
      <c r="D4" s="46">
        <v>2</v>
      </c>
      <c r="E4" s="46">
        <v>3</v>
      </c>
      <c r="F4" s="47">
        <v>4</v>
      </c>
      <c r="G4" s="48" t="s">
        <v>16</v>
      </c>
      <c r="H4" s="47" t="s">
        <v>17</v>
      </c>
      <c r="J4" s="25" t="str">
        <f aca="true" t="shared" si="0" ref="J4:J9">CONCATENATE(O4," - ",R4)</f>
        <v>Flajšar Pavel - Kmenta Josef</v>
      </c>
      <c r="K4" s="25" t="str">
        <f aca="true" t="shared" si="1" ref="K4:K9">IF(SUM(Y4:Z4)=0,AD4,CONCATENATE(Y4," : ",Z4," (",T4,",",U4,",",V4,IF(Y4+Z4&gt;3,",",""),W4,IF(Y4+Z4&gt;4,",",""),X4,")"))</f>
        <v>3 : 0 (2,4,2)</v>
      </c>
      <c r="M4" s="122" t="str">
        <f>CONCATENATE("1.st. ",úvod!$C$8," - ",M3)</f>
        <v>1.st. U13 - Skupina A</v>
      </c>
      <c r="N4" s="122">
        <f>A5</f>
        <v>1</v>
      </c>
      <c r="O4" s="122" t="str">
        <f>IF($N4=0,"----------",VLOOKUP($N4,sez!$A$2:$C$258,2))</f>
        <v>Flajšar Pavel</v>
      </c>
      <c r="P4" s="122" t="str">
        <f>IF($N4=0,"",VLOOKUP($N4,sez!$A$2:$D$258,4))</f>
        <v>SKST N. Lískovec</v>
      </c>
      <c r="Q4" s="122">
        <f>A8</f>
        <v>26</v>
      </c>
      <c r="R4" s="122" t="str">
        <f>IF($Q4=0,"----------",VLOOKUP($Q4,sez!$A$2:$C$258,2))</f>
        <v>Kmenta Josef</v>
      </c>
      <c r="S4" s="122" t="str">
        <f>IF($Q4=0,"",VLOOKUP($Q4,sez!$A$2:$D$258,4))</f>
        <v>SKST Hodonín</v>
      </c>
      <c r="T4" s="105" t="s">
        <v>128</v>
      </c>
      <c r="U4" s="106" t="s">
        <v>129</v>
      </c>
      <c r="V4" s="106" t="s">
        <v>128</v>
      </c>
      <c r="W4" s="106"/>
      <c r="X4" s="107"/>
      <c r="Y4" s="25">
        <f aca="true" t="shared" si="2" ref="Y4:Y9">COUNTIF(AH4:AL4,"&gt;0")</f>
        <v>3</v>
      </c>
      <c r="Z4" s="25">
        <f aca="true" t="shared" si="3" ref="Z4:Z9">COUNTIF(AH4:AL4,"&lt;0")</f>
        <v>0</v>
      </c>
      <c r="AA4" s="25">
        <f aca="true" t="shared" si="4" ref="AA4:AA9">IF(Y4=Z4,0,IF(Y4&gt;Z4,N4,Q4))</f>
        <v>1</v>
      </c>
      <c r="AB4" s="25" t="str">
        <f>IF($AA4=0,"",VLOOKUP($AA4,sez!$A$2:$C$258,2))</f>
        <v>Flajšar Pavel</v>
      </c>
      <c r="AC4" s="25" t="str">
        <f aca="true" t="shared" si="5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  <v>3:0 (2,4,2)</v>
      </c>
      <c r="AD4" s="25" t="str">
        <f aca="true" t="shared" si="6" ref="AD4:AD9">IF(SUM(Y4:Z4)=0,"",AC4)</f>
        <v>3:0 (2,4,2)</v>
      </c>
      <c r="AE4" s="123">
        <f aca="true" t="shared" si="7" ref="AE4:AE9">IF(T4="",0,IF(Y4&gt;Z4,2,1))</f>
        <v>2</v>
      </c>
      <c r="AF4" s="123">
        <f aca="true" t="shared" si="8" ref="AF4:AF9">IF(T4="",0,IF(Z4&gt;Y4,2,1))</f>
        <v>1</v>
      </c>
      <c r="AH4" s="123">
        <f aca="true" t="shared" si="9" ref="AH4:AL9">IF(T4="",0,IF(MID(T4,1,1)="-",-1,1))</f>
        <v>1</v>
      </c>
      <c r="AI4" s="123">
        <f t="shared" si="9"/>
        <v>1</v>
      </c>
      <c r="AJ4" s="123">
        <f t="shared" si="9"/>
        <v>1</v>
      </c>
      <c r="AK4" s="123">
        <f t="shared" si="9"/>
        <v>0</v>
      </c>
      <c r="AL4" s="123">
        <f t="shared" si="9"/>
        <v>0</v>
      </c>
      <c r="AN4" s="25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25" t="str">
        <f>CONCATENATE("&lt;TR&gt;&lt;TD width=250&gt;",J4,"&lt;TD&gt;",K4,"&lt;/TD&gt;&lt;/TR&gt;")</f>
        <v>&lt;TR&gt;&lt;TD width=250&gt;Flajšar Pavel - Kmenta Josef&lt;TD&gt;3 : 0 (2,4,2)&lt;/TD&gt;&lt;/TR&gt;</v>
      </c>
    </row>
    <row r="5" spans="1:42" ht="16.5" customHeight="1" thickTop="1">
      <c r="A5" s="117">
        <v>1</v>
      </c>
      <c r="B5" s="38" t="str">
        <f>IF($A5="","",CONCATENATE(VLOOKUP($A5,sez!$A$2:$B$258,2)," (",VLOOKUP($A5,sez!$A$2:$E$259,4),")"))</f>
        <v>Flajšar Pavel (SKST N. Lískovec)</v>
      </c>
      <c r="C5" s="39" t="s">
        <v>31</v>
      </c>
      <c r="D5" s="40" t="str">
        <f>IF(Y7+Z7=0,"",CONCATENATE(Y7,":",Z7))</f>
        <v>3:0</v>
      </c>
      <c r="E5" s="40" t="str">
        <f>IF(Y9+Z9=0,"",CONCATENATE(Z9,":",Y9))</f>
        <v>3:1</v>
      </c>
      <c r="F5" s="41" t="str">
        <f>IF(Y4+Z4=0,"",CONCATENATE(Y4,":",Z4))</f>
        <v>3:0</v>
      </c>
      <c r="G5" s="42">
        <f>IF(AE4+AE7+AF9=0,"",AE4+AE7+AF9)</f>
        <v>6</v>
      </c>
      <c r="H5" s="114">
        <v>1</v>
      </c>
      <c r="J5" s="25" t="str">
        <f t="shared" si="0"/>
        <v>Čermák Jan - Barták Lukáš</v>
      </c>
      <c r="K5" s="25" t="str">
        <f t="shared" si="1"/>
        <v>0 : 3 (-3,-4,-12)</v>
      </c>
      <c r="M5" s="122" t="str">
        <f>CONCATENATE("1.st. ",úvod!$C$8," - ",M3)</f>
        <v>1.st. U13 - Skupina A</v>
      </c>
      <c r="N5" s="122">
        <f>A6</f>
        <v>18</v>
      </c>
      <c r="O5" s="122" t="str">
        <f>IF($N5=0,"----------",VLOOKUP($N5,sez!$A$2:$C$258,2))</f>
        <v>Čermák Jan</v>
      </c>
      <c r="P5" s="122" t="str">
        <f>IF($N5=0,"",VLOOKUP($N5,sez!$A$2:$D$258,4))</f>
        <v>Sokol Brno I</v>
      </c>
      <c r="Q5" s="122">
        <f>A7</f>
        <v>11</v>
      </c>
      <c r="R5" s="122" t="str">
        <f>IF($Q5=0,"----------",VLOOKUP($Q5,sez!$A$2:$C$258,2))</f>
        <v>Barták Lukáš</v>
      </c>
      <c r="S5" s="122" t="str">
        <f>IF($Q5=0,"",VLOOKUP($Q5,sez!$A$2:$D$258,4))</f>
        <v>KST Kunštát</v>
      </c>
      <c r="T5" s="108" t="s">
        <v>125</v>
      </c>
      <c r="U5" s="109" t="s">
        <v>126</v>
      </c>
      <c r="V5" s="109" t="s">
        <v>127</v>
      </c>
      <c r="W5" s="109"/>
      <c r="X5" s="110"/>
      <c r="Y5" s="25">
        <f t="shared" si="2"/>
        <v>0</v>
      </c>
      <c r="Z5" s="25">
        <f t="shared" si="3"/>
        <v>3</v>
      </c>
      <c r="AA5" s="25">
        <f t="shared" si="4"/>
        <v>11</v>
      </c>
      <c r="AB5" s="25" t="str">
        <f>IF($AA5=0,"",VLOOKUP($AA5,sez!$A$2:$C$258,2))</f>
        <v>Barták Lukáš</v>
      </c>
      <c r="AC5" s="25" t="str">
        <f t="shared" si="5"/>
        <v>3:0 (3,4,12)</v>
      </c>
      <c r="AD5" s="25" t="str">
        <f t="shared" si="6"/>
        <v>3:0 (3,4,12)</v>
      </c>
      <c r="AE5" s="123">
        <f t="shared" si="7"/>
        <v>1</v>
      </c>
      <c r="AF5" s="123">
        <f t="shared" si="8"/>
        <v>2</v>
      </c>
      <c r="AH5" s="123">
        <f t="shared" si="9"/>
        <v>-1</v>
      </c>
      <c r="AI5" s="123">
        <f t="shared" si="9"/>
        <v>-1</v>
      </c>
      <c r="AJ5" s="123">
        <f t="shared" si="9"/>
        <v>-1</v>
      </c>
      <c r="AK5" s="123">
        <f t="shared" si="9"/>
        <v>0</v>
      </c>
      <c r="AL5" s="123">
        <f t="shared" si="9"/>
        <v>0</v>
      </c>
      <c r="AN5" s="25" t="str">
        <f>CONCATENATE(AO5,AO6,AO7,AO8,)</f>
        <v>&lt;TR&gt;&lt;TD&gt;1&lt;TD width=200&gt;Flajšar Pavel (SKST N. Lískovec)&lt;TD&gt;XXX&lt;TD&gt;3:0&lt;TD&gt;3:1&lt;TD&gt;3:0&lt;TD&gt;6&lt;TD&gt;1&lt;/TD&gt;&lt;/TR&gt;&lt;TR&gt;&lt;TD&gt;18&lt;TD width=200&gt;Čermák Jan (Sokol Brno I)&lt;TD&gt;0:3&lt;TD&gt;XXX&lt;TD&gt;0:3&lt;TD&gt;3:1&lt;TD&gt;4&lt;TD&gt;3&lt;/TD&gt;&lt;/TR&gt;&lt;TR&gt;&lt;TD&gt;11&lt;TD width=200&gt;Barták Lukáš (KST Kunštát)&lt;TD&gt;1:3&lt;TD&gt;3:0&lt;TD&gt;XXX&lt;TD&gt;3:0&lt;TD&gt;5&lt;TD&gt;2&lt;/TD&gt;&lt;/TR&gt;&lt;TR&gt;&lt;TD&gt;26&lt;TD width=200&gt;Kmenta Josef (SKST Hodonín)&lt;TD&gt;0:3&lt;TD&gt;1:3&lt;TD&gt;0:3&lt;TD&gt;XXX&lt;TD&gt;3&lt;TD&gt;4&lt;/TD&gt;&lt;/TR&gt;</v>
      </c>
      <c r="AO5" s="25" t="str">
        <f>CONCATENATE("&lt;TR&gt;&lt;TD&gt;",A5,"&lt;TD width=200&gt;",B5,"&lt;TD&gt;",C5,"&lt;TD&gt;",D5,"&lt;TD&gt;",E5,"&lt;TD&gt;",F5,"&lt;TD&gt;",G5,"&lt;TD&gt;",H5,"&lt;/TD&gt;&lt;/TR&gt;")</f>
        <v>&lt;TR&gt;&lt;TD&gt;1&lt;TD width=200&gt;Flajšar Pavel (SKST N. Lískovec)&lt;TD&gt;XXX&lt;TD&gt;3:0&lt;TD&gt;3:1&lt;TD&gt;3:0&lt;TD&gt;6&lt;TD&gt;1&lt;/TD&gt;&lt;/TR&gt;</v>
      </c>
      <c r="AP5" s="25" t="str">
        <f>CONCATENATE("&lt;TR&gt;&lt;TD&gt;",J5,"&lt;TD&gt;",K5,"&lt;/TD&gt;&lt;/TR&gt;")</f>
        <v>&lt;TR&gt;&lt;TD&gt;Čermák Jan - Barták Lukáš&lt;TD&gt;0 : 3 (-3,-4,-12)&lt;/TD&gt;&lt;/TR&gt;</v>
      </c>
    </row>
    <row r="6" spans="1:42" ht="16.5" customHeight="1">
      <c r="A6" s="118">
        <v>18</v>
      </c>
      <c r="B6" s="32" t="str">
        <f>IF($A6="","",CONCATENATE(VLOOKUP($A6,sez!$A$2:$B$258,2)," (",VLOOKUP($A6,sez!$A$2:$E$259,4),")"))</f>
        <v>Čermák Jan (Sokol Brno I)</v>
      </c>
      <c r="C6" s="36" t="str">
        <f>IF(Y7+Z7=0,"",CONCATENATE(Z7,":",Y7))</f>
        <v>0:3</v>
      </c>
      <c r="D6" s="28" t="s">
        <v>31</v>
      </c>
      <c r="E6" s="28" t="str">
        <f>IF(Y5+Z5=0,"",CONCATENATE(Y5,":",Z5))</f>
        <v>0:3</v>
      </c>
      <c r="F6" s="29" t="str">
        <f>IF(Y8+Z8=0,"",CONCATENATE(Y8,":",Z8))</f>
        <v>3:1</v>
      </c>
      <c r="G6" s="34">
        <f>IF(AE5+AF7+AE8=0,"",AE5+AF7+AE8)</f>
        <v>4</v>
      </c>
      <c r="H6" s="115">
        <v>3</v>
      </c>
      <c r="J6" s="25" t="str">
        <f t="shared" si="0"/>
        <v>Kmenta Josef - Barták Lukáš</v>
      </c>
      <c r="K6" s="25" t="str">
        <f t="shared" si="1"/>
        <v>0 : 3 (-7,-9,-7)</v>
      </c>
      <c r="M6" s="122" t="str">
        <f>CONCATENATE("1.st. ",úvod!$C$8," - ",M3)</f>
        <v>1.st. U13 - Skupina A</v>
      </c>
      <c r="N6" s="122">
        <f>A8</f>
        <v>26</v>
      </c>
      <c r="O6" s="122" t="str">
        <f>IF($N6=0,"----------",VLOOKUP($N6,sez!$A$2:$C$258,2))</f>
        <v>Kmenta Josef</v>
      </c>
      <c r="P6" s="122" t="str">
        <f>IF($N6=0,"",VLOOKUP($N6,sez!$A$2:$D$258,4))</f>
        <v>SKST Hodonín</v>
      </c>
      <c r="Q6" s="122">
        <f>A7</f>
        <v>11</v>
      </c>
      <c r="R6" s="122" t="str">
        <f>IF($Q6=0,"----------",VLOOKUP($Q6,sez!$A$2:$C$258,2))</f>
        <v>Barták Lukáš</v>
      </c>
      <c r="S6" s="122" t="str">
        <f>IF($Q6=0,"",VLOOKUP($Q6,sez!$A$2:$D$258,4))</f>
        <v>KST Kunštát</v>
      </c>
      <c r="T6" s="108" t="s">
        <v>124</v>
      </c>
      <c r="U6" s="109" t="s">
        <v>120</v>
      </c>
      <c r="V6" s="109" t="s">
        <v>124</v>
      </c>
      <c r="W6" s="109"/>
      <c r="X6" s="110"/>
      <c r="Y6" s="25">
        <f t="shared" si="2"/>
        <v>0</v>
      </c>
      <c r="Z6" s="25">
        <f t="shared" si="3"/>
        <v>3</v>
      </c>
      <c r="AA6" s="25">
        <f t="shared" si="4"/>
        <v>11</v>
      </c>
      <c r="AB6" s="25" t="str">
        <f>IF($AA6=0,"",VLOOKUP($AA6,sez!$A$2:$C$258,2))</f>
        <v>Barták Lukáš</v>
      </c>
      <c r="AC6" s="25" t="str">
        <f t="shared" si="5"/>
        <v>3:0 (7,9,7)</v>
      </c>
      <c r="AD6" s="25" t="str">
        <f t="shared" si="6"/>
        <v>3:0 (7,9,7)</v>
      </c>
      <c r="AE6" s="123">
        <f t="shared" si="7"/>
        <v>1</v>
      </c>
      <c r="AF6" s="123">
        <f t="shared" si="8"/>
        <v>2</v>
      </c>
      <c r="AH6" s="123">
        <f t="shared" si="9"/>
        <v>-1</v>
      </c>
      <c r="AI6" s="123">
        <f t="shared" si="9"/>
        <v>-1</v>
      </c>
      <c r="AJ6" s="123">
        <f t="shared" si="9"/>
        <v>-1</v>
      </c>
      <c r="AK6" s="123">
        <f t="shared" si="9"/>
        <v>0</v>
      </c>
      <c r="AL6" s="123">
        <f t="shared" si="9"/>
        <v>0</v>
      </c>
      <c r="AN6" s="25" t="str">
        <f>CONCATENATE("&lt;/Table&gt;&lt;TD width=420&gt;&lt;Table&gt;")</f>
        <v>&lt;/Table&gt;&lt;TD width=420&gt;&lt;Table&gt;</v>
      </c>
      <c r="AO6" s="25" t="str">
        <f>CONCATENATE("&lt;TR&gt;&lt;TD&gt;",A6,"&lt;TD width=200&gt;",B6,"&lt;TD&gt;",C6,"&lt;TD&gt;",D6,"&lt;TD&gt;",E6,"&lt;TD&gt;",F6,"&lt;TD&gt;",G6,"&lt;TD&gt;",H6,"&lt;/TD&gt;&lt;/TR&gt;")</f>
        <v>&lt;TR&gt;&lt;TD&gt;18&lt;TD width=200&gt;Čermák Jan (Sokol Brno I)&lt;TD&gt;0:3&lt;TD&gt;XXX&lt;TD&gt;0:3&lt;TD&gt;3:1&lt;TD&gt;4&lt;TD&gt;3&lt;/TD&gt;&lt;/TR&gt;</v>
      </c>
      <c r="AP6" s="25" t="str">
        <f>CONCATENATE("&lt;TR&gt;&lt;TD&gt;",J6,"&lt;TD&gt;",K6,"&lt;/TD&gt;&lt;/TR&gt;")</f>
        <v>&lt;TR&gt;&lt;TD&gt;Kmenta Josef - Barták Lukáš&lt;TD&gt;0 : 3 (-7,-9,-7)&lt;/TD&gt;&lt;/TR&gt;</v>
      </c>
    </row>
    <row r="7" spans="1:42" ht="16.5" customHeight="1">
      <c r="A7" s="118">
        <v>11</v>
      </c>
      <c r="B7" s="32" t="str">
        <f>IF($A7="","",CONCATENATE(VLOOKUP($A7,sez!$A$2:$B$258,2)," (",VLOOKUP($A7,sez!$A$2:$E$259,4),")"))</f>
        <v>Barták Lukáš (KST Kunštát)</v>
      </c>
      <c r="C7" s="36" t="str">
        <f>IF(Y9+Z9=0,"",CONCATENATE(Y9,":",Z9))</f>
        <v>1:3</v>
      </c>
      <c r="D7" s="28" t="str">
        <f>IF(Y5+Z5=0,"",CONCATENATE(Z5,":",Y5))</f>
        <v>3:0</v>
      </c>
      <c r="E7" s="28" t="s">
        <v>31</v>
      </c>
      <c r="F7" s="29" t="str">
        <f>IF(Y6+Z6=0,"",CONCATENATE(Z6,":",Y6))</f>
        <v>3:0</v>
      </c>
      <c r="G7" s="34">
        <f>IF(AF5+AF6+AE9=0,"",AF5+AF6+AE9)</f>
        <v>5</v>
      </c>
      <c r="H7" s="115">
        <v>2</v>
      </c>
      <c r="J7" s="25" t="str">
        <f t="shared" si="0"/>
        <v>Flajšar Pavel - Čermák Jan</v>
      </c>
      <c r="K7" s="25" t="str">
        <f t="shared" si="1"/>
        <v>3 : 0 (7,8,5)</v>
      </c>
      <c r="M7" s="122" t="str">
        <f>CONCATENATE("1.st. ",úvod!$C$8," - ",M3)</f>
        <v>1.st. U13 - Skupina A</v>
      </c>
      <c r="N7" s="122">
        <f>A5</f>
        <v>1</v>
      </c>
      <c r="O7" s="122" t="str">
        <f>IF($N7=0,"----------",VLOOKUP($N7,sez!$A$2:$C$258,2))</f>
        <v>Flajšar Pavel</v>
      </c>
      <c r="P7" s="122" t="str">
        <f>IF($N7=0,"",VLOOKUP($N7,sez!$A$2:$D$258,4))</f>
        <v>SKST N. Lískovec</v>
      </c>
      <c r="Q7" s="122">
        <f>A6</f>
        <v>18</v>
      </c>
      <c r="R7" s="122" t="str">
        <f>IF($Q7=0,"----------",VLOOKUP($Q7,sez!$A$2:$C$258,2))</f>
        <v>Čermák Jan</v>
      </c>
      <c r="S7" s="122" t="str">
        <f>IF($Q7=0,"",VLOOKUP($Q7,sez!$A$2:$D$258,4))</f>
        <v>Sokol Brno I</v>
      </c>
      <c r="T7" s="108" t="s">
        <v>134</v>
      </c>
      <c r="U7" s="109" t="s">
        <v>130</v>
      </c>
      <c r="V7" s="109" t="s">
        <v>123</v>
      </c>
      <c r="W7" s="109"/>
      <c r="X7" s="110"/>
      <c r="Y7" s="25">
        <f t="shared" si="2"/>
        <v>3</v>
      </c>
      <c r="Z7" s="25">
        <f t="shared" si="3"/>
        <v>0</v>
      </c>
      <c r="AA7" s="25">
        <f t="shared" si="4"/>
        <v>1</v>
      </c>
      <c r="AB7" s="25" t="str">
        <f>IF($AA7=0,"",VLOOKUP($AA7,sez!$A$2:$C$258,2))</f>
        <v>Flajšar Pavel</v>
      </c>
      <c r="AC7" s="25" t="str">
        <f t="shared" si="5"/>
        <v>3:0 (7,8,5)</v>
      </c>
      <c r="AD7" s="25" t="str">
        <f t="shared" si="6"/>
        <v>3:0 (7,8,5)</v>
      </c>
      <c r="AE7" s="123">
        <f t="shared" si="7"/>
        <v>2</v>
      </c>
      <c r="AF7" s="123">
        <f t="shared" si="8"/>
        <v>1</v>
      </c>
      <c r="AH7" s="123">
        <f t="shared" si="9"/>
        <v>1</v>
      </c>
      <c r="AI7" s="123">
        <f t="shared" si="9"/>
        <v>1</v>
      </c>
      <c r="AJ7" s="123">
        <f t="shared" si="9"/>
        <v>1</v>
      </c>
      <c r="AK7" s="123">
        <f t="shared" si="9"/>
        <v>0</v>
      </c>
      <c r="AL7" s="123">
        <f t="shared" si="9"/>
        <v>0</v>
      </c>
      <c r="AN7" s="25" t="str">
        <f>CONCATENATE(AP4,AP5,AP6,AP7,AP8,AP9,)</f>
        <v>&lt;TR&gt;&lt;TD width=250&gt;Flajšar Pavel - Kmenta Josef&lt;TD&gt;3 : 0 (2,4,2)&lt;/TD&gt;&lt;/TR&gt;&lt;TR&gt;&lt;TD&gt;Čermák Jan - Barták Lukáš&lt;TD&gt;0 : 3 (-3,-4,-12)&lt;/TD&gt;&lt;/TR&gt;&lt;TR&gt;&lt;TD&gt;Kmenta Josef - Barták Lukáš&lt;TD&gt;0 : 3 (-7,-9,-7)&lt;/TD&gt;&lt;/TR&gt;&lt;TR&gt;&lt;TD&gt;Flajšar Pavel - Čermák Jan&lt;TD&gt;3 : 0 (7,8,5)&lt;/TD&gt;&lt;/TR&gt;&lt;TR&gt;&lt;TD&gt;Čermák Jan - Kmenta Josef&lt;TD&gt;3 : 1 (8,-10,12,8)&lt;/TD&gt;&lt;/TR&gt;&lt;TR&gt;&lt;TD&gt;Barták Lukáš - Flajšar Pavel&lt;TD&gt;1 : 3 (-11,8,-11,-2)&lt;/TD&gt;&lt;/TR&gt;</v>
      </c>
      <c r="AO7" s="25" t="str">
        <f>CONCATENATE("&lt;TR&gt;&lt;TD&gt;",A7,"&lt;TD width=200&gt;",B7,"&lt;TD&gt;",C7,"&lt;TD&gt;",D7,"&lt;TD&gt;",E7,"&lt;TD&gt;",F7,"&lt;TD&gt;",G7,"&lt;TD&gt;",H7,"&lt;/TD&gt;&lt;/TR&gt;")</f>
        <v>&lt;TR&gt;&lt;TD&gt;11&lt;TD width=200&gt;Barták Lukáš (KST Kunštát)&lt;TD&gt;1:3&lt;TD&gt;3:0&lt;TD&gt;XXX&lt;TD&gt;3:0&lt;TD&gt;5&lt;TD&gt;2&lt;/TD&gt;&lt;/TR&gt;</v>
      </c>
      <c r="AP7" s="25" t="str">
        <f>CONCATENATE("&lt;TR&gt;&lt;TD&gt;",J7,"&lt;TD&gt;",K7,"&lt;/TD&gt;&lt;/TR&gt;")</f>
        <v>&lt;TR&gt;&lt;TD&gt;Flajšar Pavel - Čermák Jan&lt;TD&gt;3 : 0 (7,8,5)&lt;/TD&gt;&lt;/TR&gt;</v>
      </c>
    </row>
    <row r="8" spans="1:42" ht="16.5" customHeight="1" thickBot="1">
      <c r="A8" s="119">
        <v>26</v>
      </c>
      <c r="B8" s="33" t="str">
        <f>IF($A8="","",CONCATENATE(VLOOKUP($A8,sez!$A$2:$B$258,2)," (",VLOOKUP($A8,sez!$A$2:$E$259,4),")"))</f>
        <v>Kmenta Josef (SKST Hodonín)</v>
      </c>
      <c r="C8" s="37" t="str">
        <f>IF(Y4+Z4=0,"",CONCATENATE(Z4,":",Y4))</f>
        <v>0:3</v>
      </c>
      <c r="D8" s="30" t="str">
        <f>IF(Y8+Z8=0,"",CONCATENATE(Z8,":",Y8))</f>
        <v>1:3</v>
      </c>
      <c r="E8" s="30" t="str">
        <f>IF(Y6+Z6=0,"",CONCATENATE(Y6,":",Z6))</f>
        <v>0:3</v>
      </c>
      <c r="F8" s="31" t="s">
        <v>31</v>
      </c>
      <c r="G8" s="35">
        <f>IF(AF4+AE6+AF8=0,"",AF4+AE6+AF8)</f>
        <v>3</v>
      </c>
      <c r="H8" s="116">
        <v>4</v>
      </c>
      <c r="J8" s="25" t="str">
        <f t="shared" si="0"/>
        <v>Čermák Jan - Kmenta Josef</v>
      </c>
      <c r="K8" s="25" t="str">
        <f t="shared" si="1"/>
        <v>3 : 1 (8,-10,12,8)</v>
      </c>
      <c r="M8" s="122" t="str">
        <f>CONCATENATE("1.st. ",úvod!$C$8," - ",M3)</f>
        <v>1.st. U13 - Skupina A</v>
      </c>
      <c r="N8" s="122">
        <f>A6</f>
        <v>18</v>
      </c>
      <c r="O8" s="122" t="str">
        <f>IF($N8=0,"----------",VLOOKUP($N8,sez!$A$2:$C$258,2))</f>
        <v>Čermák Jan</v>
      </c>
      <c r="P8" s="122" t="str">
        <f>IF($N8=0,"",VLOOKUP($N8,sez!$A$2:$D$258,4))</f>
        <v>Sokol Brno I</v>
      </c>
      <c r="Q8" s="122">
        <f>A8</f>
        <v>26</v>
      </c>
      <c r="R8" s="122" t="str">
        <f>IF($Q8=0,"----------",VLOOKUP($Q8,sez!$A$2:$C$258,2))</f>
        <v>Kmenta Josef</v>
      </c>
      <c r="S8" s="122" t="str">
        <f>IF($Q8=0,"",VLOOKUP($Q8,sez!$A$2:$D$258,4))</f>
        <v>SKST Hodonín</v>
      </c>
      <c r="T8" s="108" t="s">
        <v>130</v>
      </c>
      <c r="U8" s="109" t="s">
        <v>139</v>
      </c>
      <c r="V8" s="109" t="s">
        <v>140</v>
      </c>
      <c r="W8" s="109" t="s">
        <v>130</v>
      </c>
      <c r="X8" s="110"/>
      <c r="Y8" s="25">
        <f t="shared" si="2"/>
        <v>3</v>
      </c>
      <c r="Z8" s="25">
        <f t="shared" si="3"/>
        <v>1</v>
      </c>
      <c r="AA8" s="25">
        <f t="shared" si="4"/>
        <v>18</v>
      </c>
      <c r="AB8" s="25" t="str">
        <f>IF($AA8=0,"",VLOOKUP($AA8,sez!$A$2:$C$258,2))</f>
        <v>Čermák Jan</v>
      </c>
      <c r="AC8" s="25" t="str">
        <f t="shared" si="5"/>
        <v>3:1 (8,-10,12,8)</v>
      </c>
      <c r="AD8" s="25" t="str">
        <f t="shared" si="6"/>
        <v>3:1 (8,-10,12,8)</v>
      </c>
      <c r="AE8" s="123">
        <f t="shared" si="7"/>
        <v>2</v>
      </c>
      <c r="AF8" s="123">
        <f t="shared" si="8"/>
        <v>1</v>
      </c>
      <c r="AH8" s="123">
        <f t="shared" si="9"/>
        <v>1</v>
      </c>
      <c r="AI8" s="123">
        <f t="shared" si="9"/>
        <v>-1</v>
      </c>
      <c r="AJ8" s="123">
        <f t="shared" si="9"/>
        <v>1</v>
      </c>
      <c r="AK8" s="123">
        <f t="shared" si="9"/>
        <v>1</v>
      </c>
      <c r="AL8" s="123">
        <f t="shared" si="9"/>
        <v>0</v>
      </c>
      <c r="AN8" s="25" t="str">
        <f>CONCATENATE("&lt;/Table&gt;&lt;/TD&gt;&lt;/TR&gt;&lt;/Table&gt;&lt;P&gt;")</f>
        <v>&lt;/Table&gt;&lt;/TD&gt;&lt;/TR&gt;&lt;/Table&gt;&lt;P&gt;</v>
      </c>
      <c r="AO8" s="25" t="str">
        <f>CONCATENATE("&lt;TR&gt;&lt;TD&gt;",A8,"&lt;TD width=200&gt;",B8,"&lt;TD&gt;",C8,"&lt;TD&gt;",D8,"&lt;TD&gt;",E8,"&lt;TD&gt;",F8,"&lt;TD&gt;",G8,"&lt;TD&gt;",H8,"&lt;/TD&gt;&lt;/TR&gt;")</f>
        <v>&lt;TR&gt;&lt;TD&gt;26&lt;TD width=200&gt;Kmenta Josef (SKST Hodonín)&lt;TD&gt;0:3&lt;TD&gt;1:3&lt;TD&gt;0:3&lt;TD&gt;XXX&lt;TD&gt;3&lt;TD&gt;4&lt;/TD&gt;&lt;/TR&gt;</v>
      </c>
      <c r="AP8" s="25" t="str">
        <f>CONCATENATE("&lt;TR&gt;&lt;TD&gt;",J8,"&lt;TD&gt;",K8,"&lt;/TD&gt;&lt;/TR&gt;")</f>
        <v>&lt;TR&gt;&lt;TD&gt;Čermák Jan - Kmenta Josef&lt;TD&gt;3 : 1 (8,-10,12,8)&lt;/TD&gt;&lt;/TR&gt;</v>
      </c>
    </row>
    <row r="9" spans="10:42" ht="16.5" customHeight="1" thickBot="1" thickTop="1">
      <c r="J9" s="25" t="str">
        <f t="shared" si="0"/>
        <v>Barták Lukáš - Flajšar Pavel</v>
      </c>
      <c r="K9" s="25" t="str">
        <f t="shared" si="1"/>
        <v>1 : 3 (-11,8,-11,-2)</v>
      </c>
      <c r="M9" s="122" t="str">
        <f>CONCATENATE("1.st. ",úvod!$C$8," - ",M3)</f>
        <v>1.st. U13 - Skupina A</v>
      </c>
      <c r="N9" s="122">
        <f>A7</f>
        <v>11</v>
      </c>
      <c r="O9" s="122" t="str">
        <f>IF($N9=0,"----------",VLOOKUP($N9,sez!$A$2:$C$258,2))</f>
        <v>Barták Lukáš</v>
      </c>
      <c r="P9" s="122" t="str">
        <f>IF($N9=0,"",VLOOKUP($N9,sez!$A$2:$D$258,4))</f>
        <v>KST Kunštát</v>
      </c>
      <c r="Q9" s="122">
        <f>A5</f>
        <v>1</v>
      </c>
      <c r="R9" s="122" t="str">
        <f>IF($Q9=0,"----------",VLOOKUP($Q9,sez!$A$2:$C$258,2))</f>
        <v>Flajšar Pavel</v>
      </c>
      <c r="S9" s="122" t="str">
        <f>IF($Q9=0,"",VLOOKUP($Q9,sez!$A$2:$D$258,4))</f>
        <v>SKST N. Lískovec</v>
      </c>
      <c r="T9" s="111" t="s">
        <v>145</v>
      </c>
      <c r="U9" s="112" t="s">
        <v>130</v>
      </c>
      <c r="V9" s="112" t="s">
        <v>145</v>
      </c>
      <c r="W9" s="112" t="s">
        <v>141</v>
      </c>
      <c r="X9" s="113"/>
      <c r="Y9" s="25">
        <f t="shared" si="2"/>
        <v>1</v>
      </c>
      <c r="Z9" s="25">
        <f t="shared" si="3"/>
        <v>3</v>
      </c>
      <c r="AA9" s="25">
        <f t="shared" si="4"/>
        <v>1</v>
      </c>
      <c r="AB9" s="25" t="str">
        <f>IF($AA9=0,"",VLOOKUP($AA9,sez!$A$2:$C$258,2))</f>
        <v>Flajšar Pavel</v>
      </c>
      <c r="AC9" s="25" t="str">
        <f t="shared" si="5"/>
        <v>3:1 (11,-8,11,2)</v>
      </c>
      <c r="AD9" s="25" t="str">
        <f t="shared" si="6"/>
        <v>3:1 (11,-8,11,2)</v>
      </c>
      <c r="AE9" s="123">
        <f t="shared" si="7"/>
        <v>1</v>
      </c>
      <c r="AF9" s="123">
        <f t="shared" si="8"/>
        <v>2</v>
      </c>
      <c r="AH9" s="123">
        <f t="shared" si="9"/>
        <v>-1</v>
      </c>
      <c r="AI9" s="123">
        <f t="shared" si="9"/>
        <v>1</v>
      </c>
      <c r="AJ9" s="123">
        <f t="shared" si="9"/>
        <v>-1</v>
      </c>
      <c r="AK9" s="123">
        <f t="shared" si="9"/>
        <v>-1</v>
      </c>
      <c r="AL9" s="123">
        <f t="shared" si="9"/>
        <v>0</v>
      </c>
      <c r="AP9" s="25" t="str">
        <f>CONCATENATE("&lt;TR&gt;&lt;TD&gt;",J9,"&lt;TD&gt;",K9,"&lt;/TD&gt;&lt;/TR&gt;")</f>
        <v>&lt;TR&gt;&lt;TD&gt;Barták Lukáš - Flajšar Pavel&lt;TD&gt;1 : 3 (-11,8,-11,-2)&lt;/TD&gt;&lt;/TR&gt;</v>
      </c>
    </row>
    <row r="10" spans="13:40" ht="16.5" customHeight="1" thickBot="1" thickTop="1">
      <c r="M10" s="26" t="str">
        <f>B11</f>
        <v>Skupina B</v>
      </c>
      <c r="N10" s="26" t="s">
        <v>0</v>
      </c>
      <c r="O10" s="26" t="s">
        <v>1</v>
      </c>
      <c r="P10" s="26" t="s">
        <v>2</v>
      </c>
      <c r="Q10" s="26" t="s">
        <v>0</v>
      </c>
      <c r="R10" s="26" t="s">
        <v>3</v>
      </c>
      <c r="S10" s="26" t="s">
        <v>2</v>
      </c>
      <c r="T10" s="27" t="s">
        <v>4</v>
      </c>
      <c r="U10" s="27" t="s">
        <v>5</v>
      </c>
      <c r="V10" s="27" t="s">
        <v>6</v>
      </c>
      <c r="W10" s="27" t="s">
        <v>7</v>
      </c>
      <c r="X10" s="27" t="s">
        <v>8</v>
      </c>
      <c r="Y10" s="26" t="s">
        <v>9</v>
      </c>
      <c r="Z10" s="26" t="s">
        <v>10</v>
      </c>
      <c r="AA10" s="26" t="s">
        <v>11</v>
      </c>
      <c r="AN10" s="25" t="s">
        <v>18</v>
      </c>
    </row>
    <row r="11" spans="1:42" ht="16.5" customHeight="1" thickBot="1" thickTop="1">
      <c r="A11" s="43"/>
      <c r="B11" s="44" t="s">
        <v>21</v>
      </c>
      <c r="C11" s="45">
        <v>1</v>
      </c>
      <c r="D11" s="46">
        <v>2</v>
      </c>
      <c r="E11" s="46">
        <v>3</v>
      </c>
      <c r="F11" s="47">
        <v>4</v>
      </c>
      <c r="G11" s="48" t="s">
        <v>16</v>
      </c>
      <c r="H11" s="47" t="s">
        <v>17</v>
      </c>
      <c r="J11" s="25" t="str">
        <f aca="true" t="shared" si="10" ref="J11:J16">CONCATENATE(O11," - ",R11)</f>
        <v>Vokřínek Tomáš - Veselý Eliáš</v>
      </c>
      <c r="K11" s="25" t="str">
        <f aca="true" t="shared" si="11" ref="K11:K16">IF(SUM(Y11:Z11)=0,AD11,CONCATENATE(Y11," : ",Z11," (",T11,",",U11,",",V11,IF(Y11+Z11&gt;3,",",""),W11,IF(Y11+Z11&gt;4,",",""),X11,")"))</f>
        <v>3 : 0 (8,2,6)</v>
      </c>
      <c r="M11" s="122" t="str">
        <f>CONCATENATE("1.st. ",úvod!$C$8," - ",M10)</f>
        <v>1.st. U13 - Skupina B</v>
      </c>
      <c r="N11" s="122">
        <f>A12</f>
        <v>2</v>
      </c>
      <c r="O11" s="122" t="str">
        <f>IF($N11=0,"----------",VLOOKUP($N11,sez!$A$2:$C$258,2))</f>
        <v>Vokřínek Tomáš</v>
      </c>
      <c r="P11" s="122" t="str">
        <f>IF($N11=0,"",VLOOKUP($N11,sez!$A$2:$D$258,4))</f>
        <v>MS Brno</v>
      </c>
      <c r="Q11" s="122">
        <f>A15</f>
        <v>28</v>
      </c>
      <c r="R11" s="122" t="str">
        <f>IF($Q11=0,"----------",VLOOKUP($Q11,sez!$A$2:$C$258,2))</f>
        <v>Veselý Eliáš</v>
      </c>
      <c r="S11" s="122" t="str">
        <f>IF($Q11=0,"",VLOOKUP($Q11,sez!$A$2:$D$258,4))</f>
        <v>KST Vyškov</v>
      </c>
      <c r="T11" s="54" t="s">
        <v>130</v>
      </c>
      <c r="U11" s="55" t="s">
        <v>128</v>
      </c>
      <c r="V11" s="55" t="s">
        <v>131</v>
      </c>
      <c r="W11" s="55"/>
      <c r="X11" s="56"/>
      <c r="Y11" s="25">
        <f aca="true" t="shared" si="12" ref="Y11:Y16">COUNTIF(AH11:AL11,"&gt;0")</f>
        <v>3</v>
      </c>
      <c r="Z11" s="25">
        <f aca="true" t="shared" si="13" ref="Z11:Z16">COUNTIF(AH11:AL11,"&lt;0")</f>
        <v>0</v>
      </c>
      <c r="AA11" s="25">
        <f aca="true" t="shared" si="14" ref="AA11:AA16">IF(Y11=Z11,0,IF(Y11&gt;Z11,N11,Q11))</f>
        <v>2</v>
      </c>
      <c r="AB11" s="25" t="str">
        <f>IF($AA11=0,"",VLOOKUP($AA11,sez!$A$2:$C$258,2))</f>
        <v>Vokřínek Tomáš</v>
      </c>
      <c r="AC11" s="25" t="str">
        <f aca="true" t="shared" si="15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  <v>3:0 (8,2,6)</v>
      </c>
      <c r="AD11" s="25" t="str">
        <f aca="true" t="shared" si="16" ref="AD11:AD16">IF(SUM(Y11:Z11)=0,"",AC11)</f>
        <v>3:0 (8,2,6)</v>
      </c>
      <c r="AE11" s="123">
        <f aca="true" t="shared" si="17" ref="AE11:AE16">IF(T11="",0,IF(Y11&gt;Z11,2,1))</f>
        <v>2</v>
      </c>
      <c r="AF11" s="123">
        <f aca="true" t="shared" si="18" ref="AF11:AF16">IF(T11="",0,IF(Z11&gt;Y11,2,1))</f>
        <v>1</v>
      </c>
      <c r="AH11" s="123">
        <f aca="true" t="shared" si="19" ref="AH11:AL16">IF(T11="",0,IF(MID(T11,1,1)="-",-1,1))</f>
        <v>1</v>
      </c>
      <c r="AI11" s="123">
        <f t="shared" si="19"/>
        <v>1</v>
      </c>
      <c r="AJ11" s="123">
        <f t="shared" si="19"/>
        <v>1</v>
      </c>
      <c r="AK11" s="123">
        <f t="shared" si="19"/>
        <v>0</v>
      </c>
      <c r="AL11" s="123">
        <f t="shared" si="19"/>
        <v>0</v>
      </c>
      <c r="AN11" s="25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25" t="str">
        <f>CONCATENATE("&lt;TR&gt;&lt;TD width=250&gt;",J11,"&lt;TD&gt;",K11,"&lt;/TD&gt;&lt;/TR&gt;")</f>
        <v>&lt;TR&gt;&lt;TD width=250&gt;Vokřínek Tomáš - Veselý Eliáš&lt;TD&gt;3 : 0 (8,2,6)&lt;/TD&gt;&lt;/TR&gt;</v>
      </c>
    </row>
    <row r="12" spans="1:42" ht="16.5" customHeight="1" thickTop="1">
      <c r="A12" s="117">
        <v>2</v>
      </c>
      <c r="B12" s="38" t="str">
        <f>IF($A12="","",CONCATENATE(VLOOKUP($A12,sez!$A$2:$B$258,2)," (",VLOOKUP($A12,sez!$A$2:$E$259,4),")"))</f>
        <v>Vokřínek Tomáš (MS Brno)</v>
      </c>
      <c r="C12" s="39" t="s">
        <v>31</v>
      </c>
      <c r="D12" s="40" t="str">
        <f>IF(Y14+Z14=0,"",CONCATENATE(Y14,":",Z14))</f>
        <v>3:0</v>
      </c>
      <c r="E12" s="40" t="str">
        <f>IF(Y16+Z16=0,"",CONCATENATE(Z16,":",Y16))</f>
        <v>3:0</v>
      </c>
      <c r="F12" s="41" t="str">
        <f>IF(Y11+Z11=0,"",CONCATENATE(Y11,":",Z11))</f>
        <v>3:0</v>
      </c>
      <c r="G12" s="42">
        <f>IF(AE11+AE14+AF16=0,"",AE11+AE14+AF16)</f>
        <v>6</v>
      </c>
      <c r="H12" s="114">
        <v>1</v>
      </c>
      <c r="J12" s="25" t="str">
        <f t="shared" si="10"/>
        <v>Le Phuoc Vu - Samson Hynek</v>
      </c>
      <c r="K12" s="25" t="str">
        <f t="shared" si="11"/>
        <v>0 : 3 (-3,-7,-8)</v>
      </c>
      <c r="M12" s="122" t="str">
        <f>CONCATENATE("1.st. ",úvod!$C$8," - ",M10)</f>
        <v>1.st. U13 - Skupina B</v>
      </c>
      <c r="N12" s="122">
        <f>A13</f>
        <v>24</v>
      </c>
      <c r="O12" s="122" t="str">
        <f>IF($N12=0,"----------",VLOOKUP($N12,sez!$A$2:$C$258,2))</f>
        <v>Le Phuoc Vu</v>
      </c>
      <c r="P12" s="122" t="str">
        <f>IF($N12=0,"",VLOOKUP($N12,sez!$A$2:$D$258,4))</f>
        <v>Sokol Znojmo-Orel Únanov</v>
      </c>
      <c r="Q12" s="122">
        <f>A14</f>
        <v>15</v>
      </c>
      <c r="R12" s="122" t="str">
        <f>IF($Q12=0,"----------",VLOOKUP($Q12,sez!$A$2:$C$258,2))</f>
        <v>Samson Hynek</v>
      </c>
      <c r="S12" s="122" t="str">
        <f>IF($Q12=0,"",VLOOKUP($Q12,sez!$A$2:$D$258,4))</f>
        <v>Agrotec Hustopeče</v>
      </c>
      <c r="T12" s="57" t="s">
        <v>125</v>
      </c>
      <c r="U12" s="58" t="s">
        <v>124</v>
      </c>
      <c r="V12" s="58" t="s">
        <v>133</v>
      </c>
      <c r="W12" s="58"/>
      <c r="X12" s="59"/>
      <c r="Y12" s="25">
        <f t="shared" si="12"/>
        <v>0</v>
      </c>
      <c r="Z12" s="25">
        <f t="shared" si="13"/>
        <v>3</v>
      </c>
      <c r="AA12" s="25">
        <f t="shared" si="14"/>
        <v>15</v>
      </c>
      <c r="AB12" s="25" t="str">
        <f>IF($AA12=0,"",VLOOKUP($AA12,sez!$A$2:$C$258,2))</f>
        <v>Samson Hynek</v>
      </c>
      <c r="AC12" s="25" t="str">
        <f t="shared" si="15"/>
        <v>3:0 (3,7,8)</v>
      </c>
      <c r="AD12" s="25" t="str">
        <f t="shared" si="16"/>
        <v>3:0 (3,7,8)</v>
      </c>
      <c r="AE12" s="123">
        <f t="shared" si="17"/>
        <v>1</v>
      </c>
      <c r="AF12" s="123">
        <f t="shared" si="18"/>
        <v>2</v>
      </c>
      <c r="AH12" s="123">
        <f t="shared" si="19"/>
        <v>-1</v>
      </c>
      <c r="AI12" s="123">
        <f t="shared" si="19"/>
        <v>-1</v>
      </c>
      <c r="AJ12" s="123">
        <f t="shared" si="19"/>
        <v>-1</v>
      </c>
      <c r="AK12" s="123">
        <f t="shared" si="19"/>
        <v>0</v>
      </c>
      <c r="AL12" s="123">
        <f t="shared" si="19"/>
        <v>0</v>
      </c>
      <c r="AN12" s="25" t="str">
        <f>CONCATENATE(AO12,AO13,AO14,AO15,)</f>
        <v>&lt;TR&gt;&lt;TD&gt;2&lt;TD width=200&gt;Vokřínek Tomáš (MS Brno)&lt;TD&gt;XXX&lt;TD&gt;3:0&lt;TD&gt;3:0&lt;TD&gt;3:0&lt;TD&gt;6&lt;TD&gt;1&lt;/TD&gt;&lt;/TR&gt;&lt;TR&gt;&lt;TD&gt;24&lt;TD width=200&gt;Le Phuoc Vu (Sokol Znojmo-Orel Únanov)&lt;TD&gt;0:3&lt;TD&gt;XXX&lt;TD&gt;0:3&lt;TD&gt;0:3&lt;TD&gt;3&lt;TD&gt;4&lt;/TD&gt;&lt;/TR&gt;&lt;TR&gt;&lt;TD&gt;15&lt;TD width=200&gt;Samson Hynek (Agrotec Hustopeče)&lt;TD&gt;0:3&lt;TD&gt;3:0&lt;TD&gt;XXX&lt;TD&gt;0:3&lt;TD&gt;4&lt;TD&gt;3&lt;/TD&gt;&lt;/TR&gt;&lt;TR&gt;&lt;TD&gt;28&lt;TD width=200&gt;Veselý Eliáš (KST Vyškov)&lt;TD&gt;0:3&lt;TD&gt;3:0&lt;TD&gt;3:0&lt;TD&gt;XXX&lt;TD&gt;5&lt;TD&gt;2&lt;/TD&gt;&lt;/TR&gt;</v>
      </c>
      <c r="AO12" s="25" t="str">
        <f>CONCATENATE("&lt;TR&gt;&lt;TD&gt;",A12,"&lt;TD width=200&gt;",B12,"&lt;TD&gt;",C12,"&lt;TD&gt;",D12,"&lt;TD&gt;",E12,"&lt;TD&gt;",F12,"&lt;TD&gt;",G12,"&lt;TD&gt;",H12,"&lt;/TD&gt;&lt;/TR&gt;")</f>
        <v>&lt;TR&gt;&lt;TD&gt;2&lt;TD width=200&gt;Vokřínek Tomáš (MS Brno)&lt;TD&gt;XXX&lt;TD&gt;3:0&lt;TD&gt;3:0&lt;TD&gt;3:0&lt;TD&gt;6&lt;TD&gt;1&lt;/TD&gt;&lt;/TR&gt;</v>
      </c>
      <c r="AP12" s="25" t="str">
        <f>CONCATENATE("&lt;TR&gt;&lt;TD&gt;",J12,"&lt;TD&gt;",K12,"&lt;/TD&gt;&lt;/TR&gt;")</f>
        <v>&lt;TR&gt;&lt;TD&gt;Le Phuoc Vu - Samson Hynek&lt;TD&gt;0 : 3 (-3,-7,-8)&lt;/TD&gt;&lt;/TR&gt;</v>
      </c>
    </row>
    <row r="13" spans="1:42" ht="16.5" customHeight="1">
      <c r="A13" s="118">
        <v>24</v>
      </c>
      <c r="B13" s="32" t="str">
        <f>IF($A13="","",CONCATENATE(VLOOKUP($A13,sez!$A$2:$B$258,2)," (",VLOOKUP($A13,sez!$A$2:$E$259,4),")"))</f>
        <v>Le Phuoc Vu (Sokol Znojmo-Orel Únanov)</v>
      </c>
      <c r="C13" s="36" t="str">
        <f>IF(Y14+Z14=0,"",CONCATENATE(Z14,":",Y14))</f>
        <v>0:3</v>
      </c>
      <c r="D13" s="28" t="s">
        <v>31</v>
      </c>
      <c r="E13" s="28" t="str">
        <f>IF(Y12+Z12=0,"",CONCATENATE(Y12,":",Z12))</f>
        <v>0:3</v>
      </c>
      <c r="F13" s="29" t="str">
        <f>IF(Y15+Z15=0,"",CONCATENATE(Y15,":",Z15))</f>
        <v>0:3</v>
      </c>
      <c r="G13" s="34">
        <f>IF(AE12+AF14+AE15=0,"",AE12+AF14+AE15)</f>
        <v>3</v>
      </c>
      <c r="H13" s="115">
        <v>4</v>
      </c>
      <c r="J13" s="25" t="str">
        <f t="shared" si="10"/>
        <v>Veselý Eliáš - Samson Hynek</v>
      </c>
      <c r="K13" s="25" t="str">
        <f t="shared" si="11"/>
        <v>3 : 0 (9,4,7)</v>
      </c>
      <c r="M13" s="122" t="str">
        <f>CONCATENATE("1.st. ",úvod!$C$8," - ",M10)</f>
        <v>1.st. U13 - Skupina B</v>
      </c>
      <c r="N13" s="122">
        <f>A15</f>
        <v>28</v>
      </c>
      <c r="O13" s="122" t="str">
        <f>IF($N13=0,"----------",VLOOKUP($N13,sez!$A$2:$C$258,2))</f>
        <v>Veselý Eliáš</v>
      </c>
      <c r="P13" s="122" t="str">
        <f>IF($N13=0,"",VLOOKUP($N13,sez!$A$2:$D$258,4))</f>
        <v>KST Vyškov</v>
      </c>
      <c r="Q13" s="122">
        <f>A14</f>
        <v>15</v>
      </c>
      <c r="R13" s="122" t="str">
        <f>IF($Q13=0,"----------",VLOOKUP($Q13,sez!$A$2:$C$258,2))</f>
        <v>Samson Hynek</v>
      </c>
      <c r="S13" s="122" t="str">
        <f>IF($Q13=0,"",VLOOKUP($Q13,sez!$A$2:$D$258,4))</f>
        <v>Agrotec Hustopeče</v>
      </c>
      <c r="T13" s="57" t="s">
        <v>121</v>
      </c>
      <c r="U13" s="58" t="s">
        <v>129</v>
      </c>
      <c r="V13" s="58" t="s">
        <v>134</v>
      </c>
      <c r="W13" s="58"/>
      <c r="X13" s="59"/>
      <c r="Y13" s="25">
        <f t="shared" si="12"/>
        <v>3</v>
      </c>
      <c r="Z13" s="25">
        <f t="shared" si="13"/>
        <v>0</v>
      </c>
      <c r="AA13" s="25">
        <f t="shared" si="14"/>
        <v>28</v>
      </c>
      <c r="AB13" s="25" t="str">
        <f>IF($AA13=0,"",VLOOKUP($AA13,sez!$A$2:$C$258,2))</f>
        <v>Veselý Eliáš</v>
      </c>
      <c r="AC13" s="25" t="str">
        <f t="shared" si="15"/>
        <v>3:0 (9,4,7)</v>
      </c>
      <c r="AD13" s="25" t="str">
        <f t="shared" si="16"/>
        <v>3:0 (9,4,7)</v>
      </c>
      <c r="AE13" s="123">
        <f t="shared" si="17"/>
        <v>2</v>
      </c>
      <c r="AF13" s="123">
        <f t="shared" si="18"/>
        <v>1</v>
      </c>
      <c r="AH13" s="123">
        <f t="shared" si="19"/>
        <v>1</v>
      </c>
      <c r="AI13" s="123">
        <f t="shared" si="19"/>
        <v>1</v>
      </c>
      <c r="AJ13" s="123">
        <f t="shared" si="19"/>
        <v>1</v>
      </c>
      <c r="AK13" s="123">
        <f t="shared" si="19"/>
        <v>0</v>
      </c>
      <c r="AL13" s="123">
        <f t="shared" si="19"/>
        <v>0</v>
      </c>
      <c r="AN13" s="25" t="str">
        <f>CONCATENATE("&lt;/Table&gt;&lt;TD width=420&gt;&lt;Table&gt;")</f>
        <v>&lt;/Table&gt;&lt;TD width=420&gt;&lt;Table&gt;</v>
      </c>
      <c r="AO13" s="25" t="str">
        <f>CONCATENATE("&lt;TR&gt;&lt;TD&gt;",A13,"&lt;TD width=200&gt;",B13,"&lt;TD&gt;",C13,"&lt;TD&gt;",D13,"&lt;TD&gt;",E13,"&lt;TD&gt;",F13,"&lt;TD&gt;",G13,"&lt;TD&gt;",H13,"&lt;/TD&gt;&lt;/TR&gt;")</f>
        <v>&lt;TR&gt;&lt;TD&gt;24&lt;TD width=200&gt;Le Phuoc Vu (Sokol Znojmo-Orel Únanov)&lt;TD&gt;0:3&lt;TD&gt;XXX&lt;TD&gt;0:3&lt;TD&gt;0:3&lt;TD&gt;3&lt;TD&gt;4&lt;/TD&gt;&lt;/TR&gt;</v>
      </c>
      <c r="AP13" s="25" t="str">
        <f>CONCATENATE("&lt;TR&gt;&lt;TD&gt;",J13,"&lt;TD&gt;",K13,"&lt;/TD&gt;&lt;/TR&gt;")</f>
        <v>&lt;TR&gt;&lt;TD&gt;Veselý Eliáš - Samson Hynek&lt;TD&gt;3 : 0 (9,4,7)&lt;/TD&gt;&lt;/TR&gt;</v>
      </c>
    </row>
    <row r="14" spans="1:42" ht="16.5" customHeight="1">
      <c r="A14" s="118">
        <v>15</v>
      </c>
      <c r="B14" s="32" t="str">
        <f>IF($A14="","",CONCATENATE(VLOOKUP($A14,sez!$A$2:$B$258,2)," (",VLOOKUP($A14,sez!$A$2:$E$259,4),")"))</f>
        <v>Samson Hynek (Agrotec Hustopeče)</v>
      </c>
      <c r="C14" s="36" t="str">
        <f>IF(Y16+Z16=0,"",CONCATENATE(Y16,":",Z16))</f>
        <v>0:3</v>
      </c>
      <c r="D14" s="28" t="str">
        <f>IF(Y12+Z12=0,"",CONCATENATE(Z12,":",Y12))</f>
        <v>3:0</v>
      </c>
      <c r="E14" s="28" t="s">
        <v>31</v>
      </c>
      <c r="F14" s="29" t="str">
        <f>IF(Y13+Z13=0,"",CONCATENATE(Z13,":",Y13))</f>
        <v>0:3</v>
      </c>
      <c r="G14" s="34">
        <f>IF(AF12+AF13+AE16=0,"",AF12+AF13+AE16)</f>
        <v>4</v>
      </c>
      <c r="H14" s="115">
        <v>3</v>
      </c>
      <c r="J14" s="25" t="str">
        <f t="shared" si="10"/>
        <v>Vokřínek Tomáš - Le Phuoc Vu</v>
      </c>
      <c r="K14" s="25" t="str">
        <f t="shared" si="11"/>
        <v>3 : 0 (4,4,11)</v>
      </c>
      <c r="M14" s="122" t="str">
        <f>CONCATENATE("1.st. ",úvod!$C$8," - ",M10)</f>
        <v>1.st. U13 - Skupina B</v>
      </c>
      <c r="N14" s="122">
        <f>A12</f>
        <v>2</v>
      </c>
      <c r="O14" s="122" t="str">
        <f>IF($N14=0,"----------",VLOOKUP($N14,sez!$A$2:$C$258,2))</f>
        <v>Vokřínek Tomáš</v>
      </c>
      <c r="P14" s="122" t="str">
        <f>IF($N14=0,"",VLOOKUP($N14,sez!$A$2:$D$258,4))</f>
        <v>MS Brno</v>
      </c>
      <c r="Q14" s="122">
        <f>A13</f>
        <v>24</v>
      </c>
      <c r="R14" s="122" t="str">
        <f>IF($Q14=0,"----------",VLOOKUP($Q14,sez!$A$2:$C$258,2))</f>
        <v>Le Phuoc Vu</v>
      </c>
      <c r="S14" s="122" t="str">
        <f>IF($Q14=0,"",VLOOKUP($Q14,sez!$A$2:$D$258,4))</f>
        <v>Sokol Znojmo-Orel Únanov</v>
      </c>
      <c r="T14" s="57" t="s">
        <v>129</v>
      </c>
      <c r="U14" s="58" t="s">
        <v>129</v>
      </c>
      <c r="V14" s="58" t="s">
        <v>144</v>
      </c>
      <c r="W14" s="58"/>
      <c r="X14" s="59"/>
      <c r="Y14" s="25">
        <f t="shared" si="12"/>
        <v>3</v>
      </c>
      <c r="Z14" s="25">
        <f t="shared" si="13"/>
        <v>0</v>
      </c>
      <c r="AA14" s="25">
        <f t="shared" si="14"/>
        <v>2</v>
      </c>
      <c r="AB14" s="25" t="str">
        <f>IF($AA14=0,"",VLOOKUP($AA14,sez!$A$2:$C$258,2))</f>
        <v>Vokřínek Tomáš</v>
      </c>
      <c r="AC14" s="25" t="str">
        <f t="shared" si="15"/>
        <v>3:0 (4,4,11)</v>
      </c>
      <c r="AD14" s="25" t="str">
        <f t="shared" si="16"/>
        <v>3:0 (4,4,11)</v>
      </c>
      <c r="AE14" s="123">
        <f t="shared" si="17"/>
        <v>2</v>
      </c>
      <c r="AF14" s="123">
        <f t="shared" si="18"/>
        <v>1</v>
      </c>
      <c r="AH14" s="123">
        <f t="shared" si="19"/>
        <v>1</v>
      </c>
      <c r="AI14" s="123">
        <f t="shared" si="19"/>
        <v>1</v>
      </c>
      <c r="AJ14" s="123">
        <f t="shared" si="19"/>
        <v>1</v>
      </c>
      <c r="AK14" s="123">
        <f t="shared" si="19"/>
        <v>0</v>
      </c>
      <c r="AL14" s="123">
        <f t="shared" si="19"/>
        <v>0</v>
      </c>
      <c r="AN14" s="25" t="str">
        <f>CONCATENATE(AP11,AP12,AP13,AP14,AP15,AP16,)</f>
        <v>&lt;TR&gt;&lt;TD width=250&gt;Vokřínek Tomáš - Veselý Eliáš&lt;TD&gt;3 : 0 (8,2,6)&lt;/TD&gt;&lt;/TR&gt;&lt;TR&gt;&lt;TD&gt;Le Phuoc Vu - Samson Hynek&lt;TD&gt;0 : 3 (-3,-7,-8)&lt;/TD&gt;&lt;/TR&gt;&lt;TR&gt;&lt;TD&gt;Veselý Eliáš - Samson Hynek&lt;TD&gt;3 : 0 (9,4,7)&lt;/TD&gt;&lt;/TR&gt;&lt;TR&gt;&lt;TD&gt;Vokřínek Tomáš - Le Phuoc Vu&lt;TD&gt;3 : 0 (4,4,11)&lt;/TD&gt;&lt;/TR&gt;&lt;TR&gt;&lt;TD&gt;Le Phuoc Vu - Veselý Eliáš&lt;TD&gt;0 : 3 (-7,-4,-10)&lt;/TD&gt;&lt;/TR&gt;&lt;TR&gt;&lt;TD&gt;Samson Hynek - Vokřínek Tomáš&lt;TD&gt;0 : 3 (-6,-7,-8)&lt;/TD&gt;&lt;/TR&gt;</v>
      </c>
      <c r="AO14" s="25" t="str">
        <f>CONCATENATE("&lt;TR&gt;&lt;TD&gt;",A14,"&lt;TD width=200&gt;",B14,"&lt;TD&gt;",C14,"&lt;TD&gt;",D14,"&lt;TD&gt;",E14,"&lt;TD&gt;",F14,"&lt;TD&gt;",G14,"&lt;TD&gt;",H14,"&lt;/TD&gt;&lt;/TR&gt;")</f>
        <v>&lt;TR&gt;&lt;TD&gt;15&lt;TD width=200&gt;Samson Hynek (Agrotec Hustopeče)&lt;TD&gt;0:3&lt;TD&gt;3:0&lt;TD&gt;XXX&lt;TD&gt;0:3&lt;TD&gt;4&lt;TD&gt;3&lt;/TD&gt;&lt;/TR&gt;</v>
      </c>
      <c r="AP14" s="25" t="str">
        <f>CONCATENATE("&lt;TR&gt;&lt;TD&gt;",J14,"&lt;TD&gt;",K14,"&lt;/TD&gt;&lt;/TR&gt;")</f>
        <v>&lt;TR&gt;&lt;TD&gt;Vokřínek Tomáš - Le Phuoc Vu&lt;TD&gt;3 : 0 (4,4,11)&lt;/TD&gt;&lt;/TR&gt;</v>
      </c>
    </row>
    <row r="15" spans="1:42" ht="16.5" customHeight="1" thickBot="1">
      <c r="A15" s="119">
        <v>28</v>
      </c>
      <c r="B15" s="33" t="str">
        <f>IF($A15="","",CONCATENATE(VLOOKUP($A15,sez!$A$2:$B$258,2)," (",VLOOKUP($A15,sez!$A$2:$E$259,4),")"))</f>
        <v>Veselý Eliáš (KST Vyškov)</v>
      </c>
      <c r="C15" s="37" t="str">
        <f>IF(Y11+Z11=0,"",CONCATENATE(Z11,":",Y11))</f>
        <v>0:3</v>
      </c>
      <c r="D15" s="30" t="str">
        <f>IF(Y15+Z15=0,"",CONCATENATE(Z15,":",Y15))</f>
        <v>3:0</v>
      </c>
      <c r="E15" s="30" t="str">
        <f>IF(Y13+Z13=0,"",CONCATENATE(Y13,":",Z13))</f>
        <v>3:0</v>
      </c>
      <c r="F15" s="31" t="s">
        <v>31</v>
      </c>
      <c r="G15" s="35">
        <f>IF(AF11+AE13+AF15=0,"",AF11+AE13+AF15)</f>
        <v>5</v>
      </c>
      <c r="H15" s="116">
        <v>2</v>
      </c>
      <c r="J15" s="25" t="str">
        <f t="shared" si="10"/>
        <v>Le Phuoc Vu - Veselý Eliáš</v>
      </c>
      <c r="K15" s="25" t="str">
        <f t="shared" si="11"/>
        <v>0 : 3 (-7,-4,-10)</v>
      </c>
      <c r="M15" s="122" t="str">
        <f>CONCATENATE("1.st. ",úvod!$C$8," - ",M10)</f>
        <v>1.st. U13 - Skupina B</v>
      </c>
      <c r="N15" s="122">
        <f>A13</f>
        <v>24</v>
      </c>
      <c r="O15" s="122" t="str">
        <f>IF($N15=0,"----------",VLOOKUP($N15,sez!$A$2:$C$258,2))</f>
        <v>Le Phuoc Vu</v>
      </c>
      <c r="P15" s="122" t="str">
        <f>IF($N15=0,"",VLOOKUP($N15,sez!$A$2:$D$258,4))</f>
        <v>Sokol Znojmo-Orel Únanov</v>
      </c>
      <c r="Q15" s="122">
        <f>A15</f>
        <v>28</v>
      </c>
      <c r="R15" s="122" t="str">
        <f>IF($Q15=0,"----------",VLOOKUP($Q15,sez!$A$2:$C$258,2))</f>
        <v>Veselý Eliáš</v>
      </c>
      <c r="S15" s="122" t="str">
        <f>IF($Q15=0,"",VLOOKUP($Q15,sez!$A$2:$D$258,4))</f>
        <v>KST Vyškov</v>
      </c>
      <c r="T15" s="57" t="s">
        <v>124</v>
      </c>
      <c r="U15" s="58" t="s">
        <v>126</v>
      </c>
      <c r="V15" s="58" t="s">
        <v>139</v>
      </c>
      <c r="W15" s="58"/>
      <c r="X15" s="59"/>
      <c r="Y15" s="25">
        <f t="shared" si="12"/>
        <v>0</v>
      </c>
      <c r="Z15" s="25">
        <f t="shared" si="13"/>
        <v>3</v>
      </c>
      <c r="AA15" s="25">
        <f t="shared" si="14"/>
        <v>28</v>
      </c>
      <c r="AB15" s="25" t="str">
        <f>IF($AA15=0,"",VLOOKUP($AA15,sez!$A$2:$C$258,2))</f>
        <v>Veselý Eliáš</v>
      </c>
      <c r="AC15" s="25" t="str">
        <f t="shared" si="15"/>
        <v>3:0 (7,4,10)</v>
      </c>
      <c r="AD15" s="25" t="str">
        <f t="shared" si="16"/>
        <v>3:0 (7,4,10)</v>
      </c>
      <c r="AE15" s="123">
        <f t="shared" si="17"/>
        <v>1</v>
      </c>
      <c r="AF15" s="123">
        <f t="shared" si="18"/>
        <v>2</v>
      </c>
      <c r="AH15" s="123">
        <f t="shared" si="19"/>
        <v>-1</v>
      </c>
      <c r="AI15" s="123">
        <f t="shared" si="19"/>
        <v>-1</v>
      </c>
      <c r="AJ15" s="123">
        <f t="shared" si="19"/>
        <v>-1</v>
      </c>
      <c r="AK15" s="123">
        <f t="shared" si="19"/>
        <v>0</v>
      </c>
      <c r="AL15" s="123">
        <f t="shared" si="19"/>
        <v>0</v>
      </c>
      <c r="AN15" s="25" t="str">
        <f>CONCATENATE("&lt;/Table&gt;&lt;/TD&gt;&lt;/TR&gt;&lt;/Table&gt;&lt;P&gt;")</f>
        <v>&lt;/Table&gt;&lt;/TD&gt;&lt;/TR&gt;&lt;/Table&gt;&lt;P&gt;</v>
      </c>
      <c r="AO15" s="25" t="str">
        <f>CONCATENATE("&lt;TR&gt;&lt;TD&gt;",A15,"&lt;TD width=200&gt;",B15,"&lt;TD&gt;",C15,"&lt;TD&gt;",D15,"&lt;TD&gt;",E15,"&lt;TD&gt;",F15,"&lt;TD&gt;",G15,"&lt;TD&gt;",H15,"&lt;/TD&gt;&lt;/TR&gt;")</f>
        <v>&lt;TR&gt;&lt;TD&gt;28&lt;TD width=200&gt;Veselý Eliáš (KST Vyškov)&lt;TD&gt;0:3&lt;TD&gt;3:0&lt;TD&gt;3:0&lt;TD&gt;XXX&lt;TD&gt;5&lt;TD&gt;2&lt;/TD&gt;&lt;/TR&gt;</v>
      </c>
      <c r="AP15" s="25" t="str">
        <f>CONCATENATE("&lt;TR&gt;&lt;TD&gt;",J15,"&lt;TD&gt;",K15,"&lt;/TD&gt;&lt;/TR&gt;")</f>
        <v>&lt;TR&gt;&lt;TD&gt;Le Phuoc Vu - Veselý Eliáš&lt;TD&gt;0 : 3 (-7,-4,-10)&lt;/TD&gt;&lt;/TR&gt;</v>
      </c>
    </row>
    <row r="16" spans="10:42" ht="16.5" customHeight="1" thickBot="1" thickTop="1">
      <c r="J16" s="25" t="str">
        <f t="shared" si="10"/>
        <v>Samson Hynek - Vokřínek Tomáš</v>
      </c>
      <c r="K16" s="25" t="str">
        <f t="shared" si="11"/>
        <v>0 : 3 (-6,-7,-8)</v>
      </c>
      <c r="M16" s="122" t="str">
        <f>CONCATENATE("1.st. ",úvod!$C$8," - ",M10)</f>
        <v>1.st. U13 - Skupina B</v>
      </c>
      <c r="N16" s="122">
        <f>A14</f>
        <v>15</v>
      </c>
      <c r="O16" s="122" t="str">
        <f>IF($N16=0,"----------",VLOOKUP($N16,sez!$A$2:$C$258,2))</f>
        <v>Samson Hynek</v>
      </c>
      <c r="P16" s="122" t="str">
        <f>IF($N16=0,"",VLOOKUP($N16,sez!$A$2:$D$258,4))</f>
        <v>Agrotec Hustopeče</v>
      </c>
      <c r="Q16" s="122">
        <f>A12</f>
        <v>2</v>
      </c>
      <c r="R16" s="122" t="str">
        <f>IF($Q16=0,"----------",VLOOKUP($Q16,sez!$A$2:$C$258,2))</f>
        <v>Vokřínek Tomáš</v>
      </c>
      <c r="S16" s="122" t="str">
        <f>IF($Q16=0,"",VLOOKUP($Q16,sez!$A$2:$D$258,4))</f>
        <v>MS Brno</v>
      </c>
      <c r="T16" s="60" t="s">
        <v>137</v>
      </c>
      <c r="U16" s="61" t="s">
        <v>124</v>
      </c>
      <c r="V16" s="61" t="s">
        <v>133</v>
      </c>
      <c r="W16" s="61"/>
      <c r="X16" s="62"/>
      <c r="Y16" s="25">
        <f t="shared" si="12"/>
        <v>0</v>
      </c>
      <c r="Z16" s="25">
        <f t="shared" si="13"/>
        <v>3</v>
      </c>
      <c r="AA16" s="25">
        <f t="shared" si="14"/>
        <v>2</v>
      </c>
      <c r="AB16" s="25" t="str">
        <f>IF($AA16=0,"",VLOOKUP($AA16,sez!$A$2:$C$258,2))</f>
        <v>Vokřínek Tomáš</v>
      </c>
      <c r="AC16" s="25" t="str">
        <f t="shared" si="15"/>
        <v>3:0 (6,7,8)</v>
      </c>
      <c r="AD16" s="25" t="str">
        <f t="shared" si="16"/>
        <v>3:0 (6,7,8)</v>
      </c>
      <c r="AE16" s="123">
        <f t="shared" si="17"/>
        <v>1</v>
      </c>
      <c r="AF16" s="123">
        <f t="shared" si="18"/>
        <v>2</v>
      </c>
      <c r="AH16" s="123">
        <f t="shared" si="19"/>
        <v>-1</v>
      </c>
      <c r="AI16" s="123">
        <f t="shared" si="19"/>
        <v>-1</v>
      </c>
      <c r="AJ16" s="123">
        <f t="shared" si="19"/>
        <v>-1</v>
      </c>
      <c r="AK16" s="123">
        <f t="shared" si="19"/>
        <v>0</v>
      </c>
      <c r="AL16" s="123">
        <f t="shared" si="19"/>
        <v>0</v>
      </c>
      <c r="AP16" s="25" t="str">
        <f>CONCATENATE("&lt;TR&gt;&lt;TD&gt;",J16,"&lt;TD&gt;",K16,"&lt;/TD&gt;&lt;/TR&gt;")</f>
        <v>&lt;TR&gt;&lt;TD&gt;Samson Hynek - Vokřínek Tomáš&lt;TD&gt;0 : 3 (-6,-7,-8)&lt;/TD&gt;&lt;/TR&gt;</v>
      </c>
    </row>
    <row r="17" spans="13:40" ht="16.5" customHeight="1" thickBot="1" thickTop="1">
      <c r="M17" s="26" t="str">
        <f>B18</f>
        <v>Skupina C</v>
      </c>
      <c r="N17" s="26" t="s">
        <v>0</v>
      </c>
      <c r="O17" s="26" t="s">
        <v>1</v>
      </c>
      <c r="P17" s="26" t="s">
        <v>2</v>
      </c>
      <c r="Q17" s="26" t="s">
        <v>0</v>
      </c>
      <c r="R17" s="26" t="s">
        <v>3</v>
      </c>
      <c r="S17" s="26" t="s">
        <v>2</v>
      </c>
      <c r="T17" s="27" t="s">
        <v>4</v>
      </c>
      <c r="U17" s="27" t="s">
        <v>5</v>
      </c>
      <c r="V17" s="27" t="s">
        <v>6</v>
      </c>
      <c r="W17" s="27" t="s">
        <v>7</v>
      </c>
      <c r="X17" s="27" t="s">
        <v>8</v>
      </c>
      <c r="Y17" s="26" t="s">
        <v>9</v>
      </c>
      <c r="Z17" s="26" t="s">
        <v>10</v>
      </c>
      <c r="AA17" s="26" t="s">
        <v>11</v>
      </c>
      <c r="AN17" s="25" t="s">
        <v>18</v>
      </c>
    </row>
    <row r="18" spans="1:42" ht="16.5" customHeight="1" thickBot="1" thickTop="1">
      <c r="A18" s="43"/>
      <c r="B18" s="44" t="s">
        <v>22</v>
      </c>
      <c r="C18" s="45">
        <v>1</v>
      </c>
      <c r="D18" s="46">
        <v>2</v>
      </c>
      <c r="E18" s="46">
        <v>3</v>
      </c>
      <c r="F18" s="47">
        <v>4</v>
      </c>
      <c r="G18" s="48" t="s">
        <v>16</v>
      </c>
      <c r="H18" s="47" t="s">
        <v>17</v>
      </c>
      <c r="J18" s="25" t="str">
        <f aca="true" t="shared" si="20" ref="J18:J23">CONCATENATE(O18," - ",R18)</f>
        <v>Cupák Jakub - Peťura Patrik</v>
      </c>
      <c r="K18" s="25" t="str">
        <f aca="true" t="shared" si="21" ref="K18:K23">IF(SUM(Y18:Z18)=0,AD18,CONCATENATE(Y18," : ",Z18," (",T18,",",U18,",",V18,IF(Y18+Z18&gt;3,",",""),W18,IF(Y18+Z18&gt;4,",",""),X18,")"))</f>
        <v>3 : 0 (2,2,2)</v>
      </c>
      <c r="M18" s="122" t="str">
        <f>CONCATENATE("1.st. ",úvod!$C$8," - ",M17)</f>
        <v>1.st. U13 - Skupina C</v>
      </c>
      <c r="N18" s="122">
        <f>A19</f>
        <v>3</v>
      </c>
      <c r="O18" s="122" t="str">
        <f>IF($N18=0,"----------",VLOOKUP($N18,sez!$A$2:$C$258,2))</f>
        <v>Cupák Jakub</v>
      </c>
      <c r="P18" s="122" t="str">
        <f>IF($N18=0,"",VLOOKUP($N18,sez!$A$2:$D$258,4))</f>
        <v>KST FOSFA LVA</v>
      </c>
      <c r="Q18" s="122">
        <f>A22</f>
        <v>32</v>
      </c>
      <c r="R18" s="122" t="str">
        <f>IF($Q18=0,"----------",VLOOKUP($Q18,sez!$A$2:$C$258,2))</f>
        <v>Peťura Patrik</v>
      </c>
      <c r="S18" s="122" t="str">
        <f>IF($Q18=0,"",VLOOKUP($Q18,sez!$A$2:$D$258,4))</f>
        <v>TJ Jiskra Strážnice</v>
      </c>
      <c r="T18" s="54" t="s">
        <v>128</v>
      </c>
      <c r="U18" s="55" t="s">
        <v>128</v>
      </c>
      <c r="V18" s="55" t="s">
        <v>128</v>
      </c>
      <c r="W18" s="55"/>
      <c r="X18" s="56"/>
      <c r="Y18" s="25">
        <f aca="true" t="shared" si="22" ref="Y18:Y23">COUNTIF(AH18:AL18,"&gt;0")</f>
        <v>3</v>
      </c>
      <c r="Z18" s="25">
        <f aca="true" t="shared" si="23" ref="Z18:Z23">COUNTIF(AH18:AL18,"&lt;0")</f>
        <v>0</v>
      </c>
      <c r="AA18" s="25">
        <f aca="true" t="shared" si="24" ref="AA18:AA23">IF(Y18=Z18,0,IF(Y18&gt;Z18,N18,Q18))</f>
        <v>3</v>
      </c>
      <c r="AB18" s="25" t="str">
        <f>IF($AA18=0,"",VLOOKUP($AA18,sez!$A$2:$C$258,2))</f>
        <v>Cupák Jakub</v>
      </c>
      <c r="AC18" s="25" t="str">
        <f aca="true" t="shared" si="25" ref="AC18:AC23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(2,2,2)</v>
      </c>
      <c r="AD18" s="25" t="str">
        <f aca="true" t="shared" si="26" ref="AD18:AD23">IF(SUM(Y18:Z18)=0,"",AC18)</f>
        <v>3:0 (2,2,2)</v>
      </c>
      <c r="AE18" s="123">
        <f aca="true" t="shared" si="27" ref="AE18:AE23">IF(T18="",0,IF(Y18&gt;Z18,2,1))</f>
        <v>2</v>
      </c>
      <c r="AF18" s="123">
        <f aca="true" t="shared" si="28" ref="AF18:AF23">IF(T18="",0,IF(Z18&gt;Y18,2,1))</f>
        <v>1</v>
      </c>
      <c r="AH18" s="123">
        <f aca="true" t="shared" si="29" ref="AH18:AL23">IF(T18="",0,IF(MID(T18,1,1)="-",-1,1))</f>
        <v>1</v>
      </c>
      <c r="AI18" s="123">
        <f t="shared" si="29"/>
        <v>1</v>
      </c>
      <c r="AJ18" s="123">
        <f t="shared" si="29"/>
        <v>1</v>
      </c>
      <c r="AK18" s="123">
        <f t="shared" si="29"/>
        <v>0</v>
      </c>
      <c r="AL18" s="123">
        <f t="shared" si="29"/>
        <v>0</v>
      </c>
      <c r="AN18" s="25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25" t="str">
        <f>CONCATENATE("&lt;TR&gt;&lt;TD width=250&gt;",J18,"&lt;TD&gt;",K18,"&lt;/TD&gt;&lt;/TR&gt;")</f>
        <v>&lt;TR&gt;&lt;TD width=250&gt;Cupák Jakub - Peťura Patrik&lt;TD&gt;3 : 0 (2,2,2)&lt;/TD&gt;&lt;/TR&gt;</v>
      </c>
    </row>
    <row r="19" spans="1:42" ht="16.5" customHeight="1" thickTop="1">
      <c r="A19" s="117">
        <v>3</v>
      </c>
      <c r="B19" s="38" t="str">
        <f>IF($A19="","",CONCATENATE(VLOOKUP($A19,sez!$A$2:$B$258,2)," (",VLOOKUP($A19,sez!$A$2:$E$259,4),")"))</f>
        <v>Cupák Jakub (KST FOSFA LVA)</v>
      </c>
      <c r="C19" s="39" t="s">
        <v>31</v>
      </c>
      <c r="D19" s="40" t="str">
        <f>IF(Y21+Z21=0,"",CONCATENATE(Y21,":",Z21))</f>
        <v>3:0</v>
      </c>
      <c r="E19" s="40" t="str">
        <f>IF(Y23+Z23=0,"",CONCATENATE(Z23,":",Y23))</f>
        <v>3:0</v>
      </c>
      <c r="F19" s="41" t="str">
        <f>IF(Y18+Z18=0,"",CONCATENATE(Y18,":",Z18))</f>
        <v>3:0</v>
      </c>
      <c r="G19" s="42">
        <f>IF(AE18+AE21+AF23=0,"",AE18+AE21+AF23)</f>
        <v>6</v>
      </c>
      <c r="H19" s="114">
        <v>1</v>
      </c>
      <c r="J19" s="25" t="str">
        <f t="shared" si="20"/>
        <v>Veselý Michael - Čelko Ondřej</v>
      </c>
      <c r="K19" s="25" t="str">
        <f t="shared" si="21"/>
        <v>0 : 3 (-3,-5,-3)</v>
      </c>
      <c r="M19" s="122" t="str">
        <f>CONCATENATE("1.st. ",úvod!$C$8," - ",M17)</f>
        <v>1.st. U13 - Skupina C</v>
      </c>
      <c r="N19" s="122">
        <f>A20</f>
        <v>23</v>
      </c>
      <c r="O19" s="122" t="str">
        <f>IF($N19=0,"----------",VLOOKUP($N19,sez!$A$2:$C$258,2))</f>
        <v>Veselý Michael</v>
      </c>
      <c r="P19" s="122" t="str">
        <f>IF($N19=0,"",VLOOKUP($N19,sez!$A$2:$D$258,4))</f>
        <v>MS Brno</v>
      </c>
      <c r="Q19" s="122">
        <f>A21</f>
        <v>16</v>
      </c>
      <c r="R19" s="122" t="str">
        <f>IF($Q19=0,"----------",VLOOKUP($Q19,sez!$A$2:$C$258,2))</f>
        <v>Čelko Ondřej</v>
      </c>
      <c r="S19" s="122" t="str">
        <f>IF($Q19=0,"",VLOOKUP($Q19,sez!$A$2:$D$258,4))</f>
        <v>Sokol Líšeň</v>
      </c>
      <c r="T19" s="57" t="s">
        <v>125</v>
      </c>
      <c r="U19" s="58" t="s">
        <v>135</v>
      </c>
      <c r="V19" s="58" t="s">
        <v>125</v>
      </c>
      <c r="W19" s="58"/>
      <c r="X19" s="59"/>
      <c r="Y19" s="25">
        <f t="shared" si="22"/>
        <v>0</v>
      </c>
      <c r="Z19" s="25">
        <f t="shared" si="23"/>
        <v>3</v>
      </c>
      <c r="AA19" s="25">
        <f t="shared" si="24"/>
        <v>16</v>
      </c>
      <c r="AB19" s="25" t="str">
        <f>IF($AA19=0,"",VLOOKUP($AA19,sez!$A$2:$C$258,2))</f>
        <v>Čelko Ondřej</v>
      </c>
      <c r="AC19" s="25" t="str">
        <f t="shared" si="25"/>
        <v>3:0 (3,5,3)</v>
      </c>
      <c r="AD19" s="25" t="str">
        <f t="shared" si="26"/>
        <v>3:0 (3,5,3)</v>
      </c>
      <c r="AE19" s="123">
        <f t="shared" si="27"/>
        <v>1</v>
      </c>
      <c r="AF19" s="123">
        <f t="shared" si="28"/>
        <v>2</v>
      </c>
      <c r="AH19" s="123">
        <f t="shared" si="29"/>
        <v>-1</v>
      </c>
      <c r="AI19" s="123">
        <f t="shared" si="29"/>
        <v>-1</v>
      </c>
      <c r="AJ19" s="123">
        <f t="shared" si="29"/>
        <v>-1</v>
      </c>
      <c r="AK19" s="123">
        <f t="shared" si="29"/>
        <v>0</v>
      </c>
      <c r="AL19" s="123">
        <f t="shared" si="29"/>
        <v>0</v>
      </c>
      <c r="AN19" s="25" t="str">
        <f>CONCATENATE(AO19,AO20,AO21,AO22,)</f>
        <v>&lt;TR&gt;&lt;TD&gt;3&lt;TD width=200&gt;Cupák Jakub (KST FOSFA LVA)&lt;TD&gt;XXX&lt;TD&gt;3:0&lt;TD&gt;3:0&lt;TD&gt;3:0&lt;TD&gt;6&lt;TD&gt;1&lt;/TD&gt;&lt;/TR&gt;&lt;TR&gt;&lt;TD&gt;23&lt;TD width=200&gt;Veselý Michael (MS Brno)&lt;TD&gt;0:3&lt;TD&gt;XXX&lt;TD&gt;0:3&lt;TD&gt;3:0&lt;TD&gt;4&lt;TD&gt;3&lt;/TD&gt;&lt;/TR&gt;&lt;TR&gt;&lt;TD&gt;16&lt;TD width=200&gt;Čelko Ondřej (Sokol Líšeň)&lt;TD&gt;0:3&lt;TD&gt;3:0&lt;TD&gt;XXX&lt;TD&gt;3:0&lt;TD&gt;5&lt;TD&gt;2&lt;/TD&gt;&lt;/TR&gt;&lt;TR&gt;&lt;TD&gt;32&lt;TD width=200&gt;Peťura Patrik (TJ Jiskra Strážnice)&lt;TD&gt;0:3&lt;TD&gt;0:3&lt;TD&gt;0:3&lt;TD&gt;XXX&lt;TD&gt;3&lt;TD&gt;4&lt;/TD&gt;&lt;/TR&gt;</v>
      </c>
      <c r="AO19" s="25" t="str">
        <f>CONCATENATE("&lt;TR&gt;&lt;TD&gt;",A19,"&lt;TD width=200&gt;",B19,"&lt;TD&gt;",C19,"&lt;TD&gt;",D19,"&lt;TD&gt;",E19,"&lt;TD&gt;",F19,"&lt;TD&gt;",G19,"&lt;TD&gt;",H19,"&lt;/TD&gt;&lt;/TR&gt;")</f>
        <v>&lt;TR&gt;&lt;TD&gt;3&lt;TD width=200&gt;Cupák Jakub (KST FOSFA LVA)&lt;TD&gt;XXX&lt;TD&gt;3:0&lt;TD&gt;3:0&lt;TD&gt;3:0&lt;TD&gt;6&lt;TD&gt;1&lt;/TD&gt;&lt;/TR&gt;</v>
      </c>
      <c r="AP19" s="25" t="str">
        <f>CONCATENATE("&lt;TR&gt;&lt;TD&gt;",J19,"&lt;TD&gt;",K19,"&lt;/TD&gt;&lt;/TR&gt;")</f>
        <v>&lt;TR&gt;&lt;TD&gt;Veselý Michael - Čelko Ondřej&lt;TD&gt;0 : 3 (-3,-5,-3)&lt;/TD&gt;&lt;/TR&gt;</v>
      </c>
    </row>
    <row r="20" spans="1:42" ht="16.5" customHeight="1">
      <c r="A20" s="118">
        <v>23</v>
      </c>
      <c r="B20" s="32" t="str">
        <f>IF($A20="","",CONCATENATE(VLOOKUP($A20,sez!$A$2:$B$258,2)," (",VLOOKUP($A20,sez!$A$2:$E$259,4),")"))</f>
        <v>Veselý Michael (MS Brno)</v>
      </c>
      <c r="C20" s="36" t="str">
        <f>IF(Y21+Z21=0,"",CONCATENATE(Z21,":",Y21))</f>
        <v>0:3</v>
      </c>
      <c r="D20" s="28" t="s">
        <v>31</v>
      </c>
      <c r="E20" s="28" t="str">
        <f>IF(Y19+Z19=0,"",CONCATENATE(Y19,":",Z19))</f>
        <v>0:3</v>
      </c>
      <c r="F20" s="29" t="str">
        <f>IF(Y22+Z22=0,"",CONCATENATE(Y22,":",Z22))</f>
        <v>3:0</v>
      </c>
      <c r="G20" s="34">
        <f>IF(AE19+AF21+AE22=0,"",AE19+AF21+AE22)</f>
        <v>4</v>
      </c>
      <c r="H20" s="115">
        <v>3</v>
      </c>
      <c r="J20" s="25" t="str">
        <f t="shared" si="20"/>
        <v>Peťura Patrik - Čelko Ondřej</v>
      </c>
      <c r="K20" s="25" t="str">
        <f t="shared" si="21"/>
        <v>0 : 3 (-3,-3,-9)</v>
      </c>
      <c r="M20" s="122" t="str">
        <f>CONCATENATE("1.st. ",úvod!$C$8," - ",M17)</f>
        <v>1.st. U13 - Skupina C</v>
      </c>
      <c r="N20" s="122">
        <f>A22</f>
        <v>32</v>
      </c>
      <c r="O20" s="122" t="str">
        <f>IF($N20=0,"----------",VLOOKUP($N20,sez!$A$2:$C$258,2))</f>
        <v>Peťura Patrik</v>
      </c>
      <c r="P20" s="122" t="str">
        <f>IF($N20=0,"",VLOOKUP($N20,sez!$A$2:$D$258,4))</f>
        <v>TJ Jiskra Strážnice</v>
      </c>
      <c r="Q20" s="122">
        <f>A21</f>
        <v>16</v>
      </c>
      <c r="R20" s="122" t="str">
        <f>IF($Q20=0,"----------",VLOOKUP($Q20,sez!$A$2:$C$258,2))</f>
        <v>Čelko Ondřej</v>
      </c>
      <c r="S20" s="122" t="str">
        <f>IF($Q20=0,"",VLOOKUP($Q20,sez!$A$2:$D$258,4))</f>
        <v>Sokol Líšeň</v>
      </c>
      <c r="T20" s="57" t="s">
        <v>125</v>
      </c>
      <c r="U20" s="58" t="s">
        <v>125</v>
      </c>
      <c r="V20" s="58" t="s">
        <v>120</v>
      </c>
      <c r="W20" s="58"/>
      <c r="X20" s="59"/>
      <c r="Y20" s="25">
        <f t="shared" si="22"/>
        <v>0</v>
      </c>
      <c r="Z20" s="25">
        <f t="shared" si="23"/>
        <v>3</v>
      </c>
      <c r="AA20" s="25">
        <f t="shared" si="24"/>
        <v>16</v>
      </c>
      <c r="AB20" s="25" t="str">
        <f>IF($AA20=0,"",VLOOKUP($AA20,sez!$A$2:$C$258,2))</f>
        <v>Čelko Ondřej</v>
      </c>
      <c r="AC20" s="25" t="str">
        <f t="shared" si="25"/>
        <v>3:0 (3,3,9)</v>
      </c>
      <c r="AD20" s="25" t="str">
        <f t="shared" si="26"/>
        <v>3:0 (3,3,9)</v>
      </c>
      <c r="AE20" s="123">
        <f t="shared" si="27"/>
        <v>1</v>
      </c>
      <c r="AF20" s="123">
        <f t="shared" si="28"/>
        <v>2</v>
      </c>
      <c r="AH20" s="123">
        <f t="shared" si="29"/>
        <v>-1</v>
      </c>
      <c r="AI20" s="123">
        <f t="shared" si="29"/>
        <v>-1</v>
      </c>
      <c r="AJ20" s="123">
        <f t="shared" si="29"/>
        <v>-1</v>
      </c>
      <c r="AK20" s="123">
        <f t="shared" si="29"/>
        <v>0</v>
      </c>
      <c r="AL20" s="123">
        <f t="shared" si="29"/>
        <v>0</v>
      </c>
      <c r="AN20" s="25" t="str">
        <f>CONCATENATE("&lt;/Table&gt;&lt;TD width=420&gt;&lt;Table&gt;")</f>
        <v>&lt;/Table&gt;&lt;TD width=420&gt;&lt;Table&gt;</v>
      </c>
      <c r="AO20" s="25" t="str">
        <f>CONCATENATE("&lt;TR&gt;&lt;TD&gt;",A20,"&lt;TD width=200&gt;",B20,"&lt;TD&gt;",C20,"&lt;TD&gt;",D20,"&lt;TD&gt;",E20,"&lt;TD&gt;",F20,"&lt;TD&gt;",G20,"&lt;TD&gt;",H20,"&lt;/TD&gt;&lt;/TR&gt;")</f>
        <v>&lt;TR&gt;&lt;TD&gt;23&lt;TD width=200&gt;Veselý Michael (MS Brno)&lt;TD&gt;0:3&lt;TD&gt;XXX&lt;TD&gt;0:3&lt;TD&gt;3:0&lt;TD&gt;4&lt;TD&gt;3&lt;/TD&gt;&lt;/TR&gt;</v>
      </c>
      <c r="AP20" s="25" t="str">
        <f>CONCATENATE("&lt;TR&gt;&lt;TD&gt;",J20,"&lt;TD&gt;",K20,"&lt;/TD&gt;&lt;/TR&gt;")</f>
        <v>&lt;TR&gt;&lt;TD&gt;Peťura Patrik - Čelko Ondřej&lt;TD&gt;0 : 3 (-3,-3,-9)&lt;/TD&gt;&lt;/TR&gt;</v>
      </c>
    </row>
    <row r="21" spans="1:42" ht="16.5" customHeight="1">
      <c r="A21" s="118">
        <v>16</v>
      </c>
      <c r="B21" s="32" t="str">
        <f>IF($A21="","",CONCATENATE(VLOOKUP($A21,sez!$A$2:$B$258,2)," (",VLOOKUP($A21,sez!$A$2:$E$259,4),")"))</f>
        <v>Čelko Ondřej (Sokol Líšeň)</v>
      </c>
      <c r="C21" s="36" t="str">
        <f>IF(Y23+Z23=0,"",CONCATENATE(Y23,":",Z23))</f>
        <v>0:3</v>
      </c>
      <c r="D21" s="28" t="str">
        <f>IF(Y19+Z19=0,"",CONCATENATE(Z19,":",Y19))</f>
        <v>3:0</v>
      </c>
      <c r="E21" s="28" t="s">
        <v>31</v>
      </c>
      <c r="F21" s="29" t="str">
        <f>IF(Y20+Z20=0,"",CONCATENATE(Z20,":",Y20))</f>
        <v>3:0</v>
      </c>
      <c r="G21" s="34">
        <f>IF(AF19+AF20+AE23=0,"",AF19+AF20+AE23)</f>
        <v>5</v>
      </c>
      <c r="H21" s="115">
        <v>2</v>
      </c>
      <c r="J21" s="25" t="str">
        <f t="shared" si="20"/>
        <v>Cupák Jakub - Veselý Michael</v>
      </c>
      <c r="K21" s="25" t="str">
        <f t="shared" si="21"/>
        <v>3 : 0 (6,1,8)</v>
      </c>
      <c r="M21" s="122" t="str">
        <f>CONCATENATE("1.st. ",úvod!$C$8," - ",M17)</f>
        <v>1.st. U13 - Skupina C</v>
      </c>
      <c r="N21" s="122">
        <f>A19</f>
        <v>3</v>
      </c>
      <c r="O21" s="122" t="str">
        <f>IF($N21=0,"----------",VLOOKUP($N21,sez!$A$2:$C$258,2))</f>
        <v>Cupák Jakub</v>
      </c>
      <c r="P21" s="122" t="str">
        <f>IF($N21=0,"",VLOOKUP($N21,sez!$A$2:$D$258,4))</f>
        <v>KST FOSFA LVA</v>
      </c>
      <c r="Q21" s="122">
        <f>A20</f>
        <v>23</v>
      </c>
      <c r="R21" s="122" t="str">
        <f>IF($Q21=0,"----------",VLOOKUP($Q21,sez!$A$2:$C$258,2))</f>
        <v>Veselý Michael</v>
      </c>
      <c r="S21" s="122" t="str">
        <f>IF($Q21=0,"",VLOOKUP($Q21,sez!$A$2:$D$258,4))</f>
        <v>MS Brno</v>
      </c>
      <c r="T21" s="57" t="s">
        <v>131</v>
      </c>
      <c r="U21" s="58" t="s">
        <v>136</v>
      </c>
      <c r="V21" s="58" t="s">
        <v>130</v>
      </c>
      <c r="W21" s="58"/>
      <c r="X21" s="59"/>
      <c r="Y21" s="25">
        <f t="shared" si="22"/>
        <v>3</v>
      </c>
      <c r="Z21" s="25">
        <f t="shared" si="23"/>
        <v>0</v>
      </c>
      <c r="AA21" s="25">
        <f t="shared" si="24"/>
        <v>3</v>
      </c>
      <c r="AB21" s="25" t="str">
        <f>IF($AA21=0,"",VLOOKUP($AA21,sez!$A$2:$C$258,2))</f>
        <v>Cupák Jakub</v>
      </c>
      <c r="AC21" s="25" t="str">
        <f t="shared" si="25"/>
        <v>3:0 (6,1,8)</v>
      </c>
      <c r="AD21" s="25" t="str">
        <f t="shared" si="26"/>
        <v>3:0 (6,1,8)</v>
      </c>
      <c r="AE21" s="123">
        <f t="shared" si="27"/>
        <v>2</v>
      </c>
      <c r="AF21" s="123">
        <f t="shared" si="28"/>
        <v>1</v>
      </c>
      <c r="AH21" s="123">
        <f t="shared" si="29"/>
        <v>1</v>
      </c>
      <c r="AI21" s="123">
        <f t="shared" si="29"/>
        <v>1</v>
      </c>
      <c r="AJ21" s="123">
        <f t="shared" si="29"/>
        <v>1</v>
      </c>
      <c r="AK21" s="123">
        <f t="shared" si="29"/>
        <v>0</v>
      </c>
      <c r="AL21" s="123">
        <f t="shared" si="29"/>
        <v>0</v>
      </c>
      <c r="AN21" s="25" t="str">
        <f>CONCATENATE(AP18,AP19,AP20,AP21,AP22,AP23,)</f>
        <v>&lt;TR&gt;&lt;TD width=250&gt;Cupák Jakub - Peťura Patrik&lt;TD&gt;3 : 0 (2,2,2)&lt;/TD&gt;&lt;/TR&gt;&lt;TR&gt;&lt;TD&gt;Veselý Michael - Čelko Ondřej&lt;TD&gt;0 : 3 (-3,-5,-3)&lt;/TD&gt;&lt;/TR&gt;&lt;TR&gt;&lt;TD&gt;Peťura Patrik - Čelko Ondřej&lt;TD&gt;0 : 3 (-3,-3,-9)&lt;/TD&gt;&lt;/TR&gt;&lt;TR&gt;&lt;TD&gt;Cupák Jakub - Veselý Michael&lt;TD&gt;3 : 0 (6,1,8)&lt;/TD&gt;&lt;/TR&gt;&lt;TR&gt;&lt;TD&gt;Veselý Michael - Peťura Patrik&lt;TD&gt;3 : 0 (5,6,7)&lt;/TD&gt;&lt;/TR&gt;&lt;TR&gt;&lt;TD&gt;Čelko Ondřej - Cupák Jakub&lt;TD&gt;0 : 3 (-9,-7,-3)&lt;/TD&gt;&lt;/TR&gt;</v>
      </c>
      <c r="AO21" s="25" t="str">
        <f>CONCATENATE("&lt;TR&gt;&lt;TD&gt;",A21,"&lt;TD width=200&gt;",B21,"&lt;TD&gt;",C21,"&lt;TD&gt;",D21,"&lt;TD&gt;",E21,"&lt;TD&gt;",F21,"&lt;TD&gt;",G21,"&lt;TD&gt;",H21,"&lt;/TD&gt;&lt;/TR&gt;")</f>
        <v>&lt;TR&gt;&lt;TD&gt;16&lt;TD width=200&gt;Čelko Ondřej (Sokol Líšeň)&lt;TD&gt;0:3&lt;TD&gt;3:0&lt;TD&gt;XXX&lt;TD&gt;3:0&lt;TD&gt;5&lt;TD&gt;2&lt;/TD&gt;&lt;/TR&gt;</v>
      </c>
      <c r="AP21" s="25" t="str">
        <f>CONCATENATE("&lt;TR&gt;&lt;TD&gt;",J21,"&lt;TD&gt;",K21,"&lt;/TD&gt;&lt;/TR&gt;")</f>
        <v>&lt;TR&gt;&lt;TD&gt;Cupák Jakub - Veselý Michael&lt;TD&gt;3 : 0 (6,1,8)&lt;/TD&gt;&lt;/TR&gt;</v>
      </c>
    </row>
    <row r="22" spans="1:42" ht="16.5" customHeight="1" thickBot="1">
      <c r="A22" s="119">
        <v>32</v>
      </c>
      <c r="B22" s="33" t="str">
        <f>IF($A22="","",CONCATENATE(VLOOKUP($A22,sez!$A$2:$B$258,2)," (",VLOOKUP($A22,sez!$A$2:$E$259,4),")"))</f>
        <v>Peťura Patrik (TJ Jiskra Strážnice)</v>
      </c>
      <c r="C22" s="37" t="str">
        <f>IF(Y18+Z18=0,"",CONCATENATE(Z18,":",Y18))</f>
        <v>0:3</v>
      </c>
      <c r="D22" s="30" t="str">
        <f>IF(Y22+Z22=0,"",CONCATENATE(Z22,":",Y22))</f>
        <v>0:3</v>
      </c>
      <c r="E22" s="30" t="str">
        <f>IF(Y20+Z20=0,"",CONCATENATE(Y20,":",Z20))</f>
        <v>0:3</v>
      </c>
      <c r="F22" s="31" t="s">
        <v>31</v>
      </c>
      <c r="G22" s="35">
        <f>IF(AF18+AE20+AF22=0,"",AF18+AE20+AF22)</f>
        <v>3</v>
      </c>
      <c r="H22" s="116">
        <v>4</v>
      </c>
      <c r="J22" s="25" t="str">
        <f t="shared" si="20"/>
        <v>Veselý Michael - Peťura Patrik</v>
      </c>
      <c r="K22" s="25" t="str">
        <f t="shared" si="21"/>
        <v>3 : 0 (5,6,7)</v>
      </c>
      <c r="M22" s="122" t="str">
        <f>CONCATENATE("1.st. ",úvod!$C$8," - ",M17)</f>
        <v>1.st. U13 - Skupina C</v>
      </c>
      <c r="N22" s="122">
        <f>A20</f>
        <v>23</v>
      </c>
      <c r="O22" s="122" t="str">
        <f>IF($N22=0,"----------",VLOOKUP($N22,sez!$A$2:$C$258,2))</f>
        <v>Veselý Michael</v>
      </c>
      <c r="P22" s="122" t="str">
        <f>IF($N22=0,"",VLOOKUP($N22,sez!$A$2:$D$258,4))</f>
        <v>MS Brno</v>
      </c>
      <c r="Q22" s="122">
        <f>A22</f>
        <v>32</v>
      </c>
      <c r="R22" s="122" t="str">
        <f>IF($Q22=0,"----------",VLOOKUP($Q22,sez!$A$2:$C$258,2))</f>
        <v>Peťura Patrik</v>
      </c>
      <c r="S22" s="122" t="str">
        <f>IF($Q22=0,"",VLOOKUP($Q22,sez!$A$2:$D$258,4))</f>
        <v>TJ Jiskra Strážnice</v>
      </c>
      <c r="T22" s="57" t="s">
        <v>123</v>
      </c>
      <c r="U22" s="58" t="s">
        <v>131</v>
      </c>
      <c r="V22" s="58" t="s">
        <v>134</v>
      </c>
      <c r="W22" s="58"/>
      <c r="X22" s="59"/>
      <c r="Y22" s="25">
        <f t="shared" si="22"/>
        <v>3</v>
      </c>
      <c r="Z22" s="25">
        <f t="shared" si="23"/>
        <v>0</v>
      </c>
      <c r="AA22" s="25">
        <f t="shared" si="24"/>
        <v>23</v>
      </c>
      <c r="AB22" s="25" t="str">
        <f>IF($AA22=0,"",VLOOKUP($AA22,sez!$A$2:$C$258,2))</f>
        <v>Veselý Michael</v>
      </c>
      <c r="AC22" s="25" t="str">
        <f t="shared" si="25"/>
        <v>3:0 (5,6,7)</v>
      </c>
      <c r="AD22" s="25" t="str">
        <f t="shared" si="26"/>
        <v>3:0 (5,6,7)</v>
      </c>
      <c r="AE22" s="123">
        <f t="shared" si="27"/>
        <v>2</v>
      </c>
      <c r="AF22" s="123">
        <f t="shared" si="28"/>
        <v>1</v>
      </c>
      <c r="AH22" s="123">
        <f t="shared" si="29"/>
        <v>1</v>
      </c>
      <c r="AI22" s="123">
        <f t="shared" si="29"/>
        <v>1</v>
      </c>
      <c r="AJ22" s="123">
        <f t="shared" si="29"/>
        <v>1</v>
      </c>
      <c r="AK22" s="123">
        <f t="shared" si="29"/>
        <v>0</v>
      </c>
      <c r="AL22" s="123">
        <f t="shared" si="29"/>
        <v>0</v>
      </c>
      <c r="AN22" s="25" t="str">
        <f>CONCATENATE("&lt;/Table&gt;&lt;/TD&gt;&lt;/TR&gt;&lt;/Table&gt;&lt;P&gt;")</f>
        <v>&lt;/Table&gt;&lt;/TD&gt;&lt;/TR&gt;&lt;/Table&gt;&lt;P&gt;</v>
      </c>
      <c r="AO22" s="25" t="str">
        <f>CONCATENATE("&lt;TR&gt;&lt;TD&gt;",A22,"&lt;TD width=200&gt;",B22,"&lt;TD&gt;",C22,"&lt;TD&gt;",D22,"&lt;TD&gt;",E22,"&lt;TD&gt;",F22,"&lt;TD&gt;",G22,"&lt;TD&gt;",H22,"&lt;/TD&gt;&lt;/TR&gt;")</f>
        <v>&lt;TR&gt;&lt;TD&gt;32&lt;TD width=200&gt;Peťura Patrik (TJ Jiskra Strážnice)&lt;TD&gt;0:3&lt;TD&gt;0:3&lt;TD&gt;0:3&lt;TD&gt;XXX&lt;TD&gt;3&lt;TD&gt;4&lt;/TD&gt;&lt;/TR&gt;</v>
      </c>
      <c r="AP22" s="25" t="str">
        <f>CONCATENATE("&lt;TR&gt;&lt;TD&gt;",J22,"&lt;TD&gt;",K22,"&lt;/TD&gt;&lt;/TR&gt;")</f>
        <v>&lt;TR&gt;&lt;TD&gt;Veselý Michael - Peťura Patrik&lt;TD&gt;3 : 0 (5,6,7)&lt;/TD&gt;&lt;/TR&gt;</v>
      </c>
    </row>
    <row r="23" spans="10:42" ht="16.5" customHeight="1" thickBot="1" thickTop="1">
      <c r="J23" s="25" t="str">
        <f t="shared" si="20"/>
        <v>Čelko Ondřej - Cupák Jakub</v>
      </c>
      <c r="K23" s="25" t="str">
        <f t="shared" si="21"/>
        <v>0 : 3 (-9,-7,-3)</v>
      </c>
      <c r="M23" s="122" t="str">
        <f>CONCATENATE("1.st. ",úvod!$C$8," - ",M17)</f>
        <v>1.st. U13 - Skupina C</v>
      </c>
      <c r="N23" s="122">
        <f>A21</f>
        <v>16</v>
      </c>
      <c r="O23" s="122" t="str">
        <f>IF($N23=0,"----------",VLOOKUP($N23,sez!$A$2:$C$258,2))</f>
        <v>Čelko Ondřej</v>
      </c>
      <c r="P23" s="122" t="str">
        <f>IF($N23=0,"",VLOOKUP($N23,sez!$A$2:$D$258,4))</f>
        <v>Sokol Líšeň</v>
      </c>
      <c r="Q23" s="122">
        <f>A19</f>
        <v>3</v>
      </c>
      <c r="R23" s="122" t="str">
        <f>IF($Q23=0,"----------",VLOOKUP($Q23,sez!$A$2:$C$258,2))</f>
        <v>Cupák Jakub</v>
      </c>
      <c r="S23" s="122" t="str">
        <f>IF($Q23=0,"",VLOOKUP($Q23,sez!$A$2:$D$258,4))</f>
        <v>KST FOSFA LVA</v>
      </c>
      <c r="T23" s="60" t="s">
        <v>120</v>
      </c>
      <c r="U23" s="61" t="s">
        <v>124</v>
      </c>
      <c r="V23" s="61" t="s">
        <v>125</v>
      </c>
      <c r="W23" s="61"/>
      <c r="X23" s="62"/>
      <c r="Y23" s="25">
        <f t="shared" si="22"/>
        <v>0</v>
      </c>
      <c r="Z23" s="25">
        <f t="shared" si="23"/>
        <v>3</v>
      </c>
      <c r="AA23" s="25">
        <f t="shared" si="24"/>
        <v>3</v>
      </c>
      <c r="AB23" s="25" t="str">
        <f>IF($AA23=0,"",VLOOKUP($AA23,sez!$A$2:$C$258,2))</f>
        <v>Cupák Jakub</v>
      </c>
      <c r="AC23" s="25" t="str">
        <f t="shared" si="25"/>
        <v>3:0 (9,7,3)</v>
      </c>
      <c r="AD23" s="25" t="str">
        <f t="shared" si="26"/>
        <v>3:0 (9,7,3)</v>
      </c>
      <c r="AE23" s="123">
        <f t="shared" si="27"/>
        <v>1</v>
      </c>
      <c r="AF23" s="123">
        <f t="shared" si="28"/>
        <v>2</v>
      </c>
      <c r="AH23" s="123">
        <f t="shared" si="29"/>
        <v>-1</v>
      </c>
      <c r="AI23" s="123">
        <f t="shared" si="29"/>
        <v>-1</v>
      </c>
      <c r="AJ23" s="123">
        <f t="shared" si="29"/>
        <v>-1</v>
      </c>
      <c r="AK23" s="123">
        <f t="shared" si="29"/>
        <v>0</v>
      </c>
      <c r="AL23" s="123">
        <f t="shared" si="29"/>
        <v>0</v>
      </c>
      <c r="AP23" s="25" t="str">
        <f>CONCATENATE("&lt;TR&gt;&lt;TD&gt;",J23,"&lt;TD&gt;",K23,"&lt;/TD&gt;&lt;/TR&gt;")</f>
        <v>&lt;TR&gt;&lt;TD&gt;Čelko Ondřej - Cupák Jakub&lt;TD&gt;0 : 3 (-9,-7,-3)&lt;/TD&gt;&lt;/TR&gt;</v>
      </c>
    </row>
    <row r="24" spans="13:40" ht="16.5" customHeight="1" thickBot="1" thickTop="1">
      <c r="M24" s="26" t="str">
        <f>B25</f>
        <v>Skupina D</v>
      </c>
      <c r="N24" s="26" t="s">
        <v>0</v>
      </c>
      <c r="O24" s="26" t="s">
        <v>1</v>
      </c>
      <c r="P24" s="26" t="s">
        <v>2</v>
      </c>
      <c r="Q24" s="26" t="s">
        <v>0</v>
      </c>
      <c r="R24" s="26" t="s">
        <v>3</v>
      </c>
      <c r="S24" s="26" t="s">
        <v>2</v>
      </c>
      <c r="T24" s="27" t="s">
        <v>4</v>
      </c>
      <c r="U24" s="27" t="s">
        <v>5</v>
      </c>
      <c r="V24" s="27" t="s">
        <v>6</v>
      </c>
      <c r="W24" s="27" t="s">
        <v>7</v>
      </c>
      <c r="X24" s="27" t="s">
        <v>8</v>
      </c>
      <c r="Y24" s="26" t="s">
        <v>9</v>
      </c>
      <c r="Z24" s="26" t="s">
        <v>10</v>
      </c>
      <c r="AA24" s="26" t="s">
        <v>11</v>
      </c>
      <c r="AN24" s="25" t="s">
        <v>18</v>
      </c>
    </row>
    <row r="25" spans="1:42" ht="16.5" customHeight="1" thickBot="1" thickTop="1">
      <c r="A25" s="43"/>
      <c r="B25" s="44" t="s">
        <v>23</v>
      </c>
      <c r="C25" s="45">
        <v>1</v>
      </c>
      <c r="D25" s="46">
        <v>2</v>
      </c>
      <c r="E25" s="46">
        <v>3</v>
      </c>
      <c r="F25" s="47">
        <v>4</v>
      </c>
      <c r="G25" s="48" t="s">
        <v>16</v>
      </c>
      <c r="H25" s="47" t="s">
        <v>17</v>
      </c>
      <c r="J25" s="25" t="str">
        <f aca="true" t="shared" si="30" ref="J25:J30">CONCATENATE(O25," - ",R25)</f>
        <v>Štěpánek Adam - Kouřil Antonín</v>
      </c>
      <c r="K25" s="25" t="str">
        <f aca="true" t="shared" si="31" ref="K25:K30">IF(SUM(Y25:Z25)=0,AD25,CONCATENATE(Y25," : ",Z25," (",T25,",",U25,",",V25,IF(Y25+Z25&gt;3,",",""),W25,IF(Y25+Z25&gt;4,",",""),X25,")"))</f>
        <v>3 : 1 (5,-9,9,1)</v>
      </c>
      <c r="M25" s="122" t="str">
        <f>CONCATENATE("1.st. ",úvod!$C$8," - ",M24)</f>
        <v>1.st. U13 - Skupina D</v>
      </c>
      <c r="N25" s="122">
        <f>A26</f>
        <v>4</v>
      </c>
      <c r="O25" s="122" t="str">
        <f>IF($N25=0,"----------",VLOOKUP($N25,sez!$A$2:$C$258,2))</f>
        <v>Štěpánek Adam</v>
      </c>
      <c r="P25" s="122" t="str">
        <f>IF($N25=0,"",VLOOKUP($N25,sez!$A$2:$D$258,4))</f>
        <v>STP Mikulov</v>
      </c>
      <c r="Q25" s="122">
        <f>A29</f>
        <v>30</v>
      </c>
      <c r="R25" s="122" t="str">
        <f>IF($Q25=0,"----------",VLOOKUP($Q25,sez!$A$2:$C$258,2))</f>
        <v>Kouřil Antonín</v>
      </c>
      <c r="S25" s="122" t="str">
        <f>IF($Q25=0,"",VLOOKUP($Q25,sez!$A$2:$D$258,4))</f>
        <v>MK Řeznovice</v>
      </c>
      <c r="T25" s="54" t="s">
        <v>123</v>
      </c>
      <c r="U25" s="55" t="s">
        <v>120</v>
      </c>
      <c r="V25" s="55" t="s">
        <v>121</v>
      </c>
      <c r="W25" s="55" t="s">
        <v>136</v>
      </c>
      <c r="X25" s="56"/>
      <c r="Y25" s="25">
        <f aca="true" t="shared" si="32" ref="Y25:Y30">COUNTIF(AH25:AL25,"&gt;0")</f>
        <v>3</v>
      </c>
      <c r="Z25" s="25">
        <f aca="true" t="shared" si="33" ref="Z25:Z30">COUNTIF(AH25:AL25,"&lt;0")</f>
        <v>1</v>
      </c>
      <c r="AA25" s="25">
        <f aca="true" t="shared" si="34" ref="AA25:AA30">IF(Y25=Z25,0,IF(Y25&gt;Z25,N25,Q25))</f>
        <v>4</v>
      </c>
      <c r="AB25" s="25" t="str">
        <f>IF($AA25=0,"",VLOOKUP($AA25,sez!$A$2:$C$258,2))</f>
        <v>Štěpánek Adam</v>
      </c>
      <c r="AC25" s="25" t="str">
        <f aca="true" t="shared" si="35" ref="AC25:AC30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>3:1 (5,-9,9,1)</v>
      </c>
      <c r="AD25" s="25" t="str">
        <f aca="true" t="shared" si="36" ref="AD25:AD30">IF(SUM(Y25:Z25)=0,"",AC25)</f>
        <v>3:1 (5,-9,9,1)</v>
      </c>
      <c r="AE25" s="123">
        <f aca="true" t="shared" si="37" ref="AE25:AE30">IF(T25="",0,IF(Y25&gt;Z25,2,1))</f>
        <v>2</v>
      </c>
      <c r="AF25" s="123">
        <f aca="true" t="shared" si="38" ref="AF25:AF30">IF(T25="",0,IF(Z25&gt;Y25,2,1))</f>
        <v>1</v>
      </c>
      <c r="AH25" s="123">
        <f aca="true" t="shared" si="39" ref="AH25:AL30">IF(T25="",0,IF(MID(T25,1,1)="-",-1,1))</f>
        <v>1</v>
      </c>
      <c r="AI25" s="123">
        <f t="shared" si="39"/>
        <v>-1</v>
      </c>
      <c r="AJ25" s="123">
        <f t="shared" si="39"/>
        <v>1</v>
      </c>
      <c r="AK25" s="123">
        <f t="shared" si="39"/>
        <v>1</v>
      </c>
      <c r="AL25" s="123">
        <f t="shared" si="39"/>
        <v>0</v>
      </c>
      <c r="AN25" s="25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P25" s="25" t="str">
        <f>CONCATENATE("&lt;TR&gt;&lt;TD width=250&gt;",J25,"&lt;TD&gt;",K25,"&lt;/TD&gt;&lt;/TR&gt;")</f>
        <v>&lt;TR&gt;&lt;TD width=250&gt;Štěpánek Adam - Kouřil Antonín&lt;TD&gt;3 : 1 (5,-9,9,1)&lt;/TD&gt;&lt;/TR&gt;</v>
      </c>
    </row>
    <row r="26" spans="1:42" ht="16.5" customHeight="1" thickTop="1">
      <c r="A26" s="117">
        <v>4</v>
      </c>
      <c r="B26" s="38" t="str">
        <f>IF($A26="","",CONCATENATE(VLOOKUP($A26,sez!$A$2:$B$258,2)," (",VLOOKUP($A26,sez!$A$2:$E$259,4),")"))</f>
        <v>Štěpánek Adam (STP Mikulov)</v>
      </c>
      <c r="C26" s="39" t="s">
        <v>31</v>
      </c>
      <c r="D26" s="40" t="str">
        <f>IF(Y28+Z28=0,"",CONCATENATE(Y28,":",Z28))</f>
        <v>3:0</v>
      </c>
      <c r="E26" s="40" t="str">
        <f>IF(Y30+Z30=0,"",CONCATENATE(Z30,":",Y30))</f>
        <v>3:1</v>
      </c>
      <c r="F26" s="41" t="str">
        <f>IF(Y25+Z25=0,"",CONCATENATE(Y25,":",Z25))</f>
        <v>3:1</v>
      </c>
      <c r="G26" s="42">
        <f>IF(AE25+AE28+AF30=0,"",AE25+AE28+AF30)</f>
        <v>6</v>
      </c>
      <c r="H26" s="114">
        <v>1</v>
      </c>
      <c r="J26" s="25" t="str">
        <f t="shared" si="30"/>
        <v>Telecký Radovan - Tuč Michal</v>
      </c>
      <c r="K26" s="25" t="str">
        <f t="shared" si="31"/>
        <v>0 : 3 (-6,-6,-7)</v>
      </c>
      <c r="M26" s="122" t="str">
        <f>CONCATENATE("1.st. ",úvod!$C$8," - ",M24)</f>
        <v>1.st. U13 - Skupina D</v>
      </c>
      <c r="N26" s="122">
        <f>A27</f>
        <v>19</v>
      </c>
      <c r="O26" s="122" t="str">
        <f>IF($N26=0,"----------",VLOOKUP($N26,sez!$A$2:$C$258,2))</f>
        <v>Telecký Radovan</v>
      </c>
      <c r="P26" s="122" t="str">
        <f>IF($N26=0,"",VLOOKUP($N26,sez!$A$2:$D$258,4))</f>
        <v>Orel Šlapanice</v>
      </c>
      <c r="Q26" s="122">
        <f>A28</f>
        <v>13</v>
      </c>
      <c r="R26" s="122" t="str">
        <f>IF($Q26=0,"----------",VLOOKUP($Q26,sez!$A$2:$C$258,2))</f>
        <v>Tuč Michal</v>
      </c>
      <c r="S26" s="122" t="str">
        <f>IF($Q26=0,"",VLOOKUP($Q26,sez!$A$2:$D$258,4))</f>
        <v>Sokol Brno I</v>
      </c>
      <c r="T26" s="57" t="s">
        <v>137</v>
      </c>
      <c r="U26" s="58" t="s">
        <v>137</v>
      </c>
      <c r="V26" s="58" t="s">
        <v>124</v>
      </c>
      <c r="W26" s="58"/>
      <c r="X26" s="59"/>
      <c r="Y26" s="25">
        <f t="shared" si="32"/>
        <v>0</v>
      </c>
      <c r="Z26" s="25">
        <f t="shared" si="33"/>
        <v>3</v>
      </c>
      <c r="AA26" s="25">
        <f t="shared" si="34"/>
        <v>13</v>
      </c>
      <c r="AB26" s="25" t="str">
        <f>IF($AA26=0,"",VLOOKUP($AA26,sez!$A$2:$C$258,2))</f>
        <v>Tuč Michal</v>
      </c>
      <c r="AC26" s="25" t="str">
        <f t="shared" si="35"/>
        <v>3:0 (6,6,7)</v>
      </c>
      <c r="AD26" s="25" t="str">
        <f t="shared" si="36"/>
        <v>3:0 (6,6,7)</v>
      </c>
      <c r="AE26" s="123">
        <f t="shared" si="37"/>
        <v>1</v>
      </c>
      <c r="AF26" s="123">
        <f t="shared" si="38"/>
        <v>2</v>
      </c>
      <c r="AH26" s="123">
        <f t="shared" si="39"/>
        <v>-1</v>
      </c>
      <c r="AI26" s="123">
        <f t="shared" si="39"/>
        <v>-1</v>
      </c>
      <c r="AJ26" s="123">
        <f t="shared" si="39"/>
        <v>-1</v>
      </c>
      <c r="AK26" s="123">
        <f t="shared" si="39"/>
        <v>0</v>
      </c>
      <c r="AL26" s="123">
        <f t="shared" si="39"/>
        <v>0</v>
      </c>
      <c r="AN26" s="25" t="str">
        <f>CONCATENATE(AO26,AO27,AO28,AO29,)</f>
        <v>&lt;TR&gt;&lt;TD&gt;4&lt;TD width=200&gt;Štěpánek Adam (STP Mikulov)&lt;TD&gt;XXX&lt;TD&gt;3:0&lt;TD&gt;3:1&lt;TD&gt;3:1&lt;TD&gt;6&lt;TD&gt;1&lt;/TD&gt;&lt;/TR&gt;&lt;TR&gt;&lt;TD&gt;19&lt;TD width=200&gt;Telecký Radovan (Orel Šlapanice)&lt;TD&gt;0:3&lt;TD&gt;XXX&lt;TD&gt;0:3&lt;TD&gt;2:3&lt;TD&gt;3&lt;TD&gt;4&lt;/TD&gt;&lt;/TR&gt;&lt;TR&gt;&lt;TD&gt;13&lt;TD width=200&gt;Tuč Michal (Sokol Brno I)&lt;TD&gt;1:3&lt;TD&gt;3:0&lt;TD&gt;XXX&lt;TD&gt;3:1&lt;TD&gt;5&lt;TD&gt;2&lt;/TD&gt;&lt;/TR&gt;&lt;TR&gt;&lt;TD&gt;30&lt;TD width=200&gt;Kouřil Antonín (MK Řeznovice)&lt;TD&gt;1:3&lt;TD&gt;3:2&lt;TD&gt;1:3&lt;TD&gt;XXX&lt;TD&gt;4&lt;TD&gt;3&lt;/TD&gt;&lt;/TR&gt;</v>
      </c>
      <c r="AO26" s="25" t="str">
        <f>CONCATENATE("&lt;TR&gt;&lt;TD&gt;",A26,"&lt;TD width=200&gt;",B26,"&lt;TD&gt;",C26,"&lt;TD&gt;",D26,"&lt;TD&gt;",E26,"&lt;TD&gt;",F26,"&lt;TD&gt;",G26,"&lt;TD&gt;",H26,"&lt;/TD&gt;&lt;/TR&gt;")</f>
        <v>&lt;TR&gt;&lt;TD&gt;4&lt;TD width=200&gt;Štěpánek Adam (STP Mikulov)&lt;TD&gt;XXX&lt;TD&gt;3:0&lt;TD&gt;3:1&lt;TD&gt;3:1&lt;TD&gt;6&lt;TD&gt;1&lt;/TD&gt;&lt;/TR&gt;</v>
      </c>
      <c r="AP26" s="25" t="str">
        <f>CONCATENATE("&lt;TR&gt;&lt;TD&gt;",J26,"&lt;TD&gt;",K26,"&lt;/TD&gt;&lt;/TR&gt;")</f>
        <v>&lt;TR&gt;&lt;TD&gt;Telecký Radovan - Tuč Michal&lt;TD&gt;0 : 3 (-6,-6,-7)&lt;/TD&gt;&lt;/TR&gt;</v>
      </c>
    </row>
    <row r="27" spans="1:42" ht="16.5" customHeight="1">
      <c r="A27" s="118">
        <v>19</v>
      </c>
      <c r="B27" s="32" t="str">
        <f>IF($A27="","",CONCATENATE(VLOOKUP($A27,sez!$A$2:$B$258,2)," (",VLOOKUP($A27,sez!$A$2:$E$259,4),")"))</f>
        <v>Telecký Radovan (Orel Šlapanice)</v>
      </c>
      <c r="C27" s="36" t="str">
        <f>IF(Y28+Z28=0,"",CONCATENATE(Z28,":",Y28))</f>
        <v>0:3</v>
      </c>
      <c r="D27" s="28" t="s">
        <v>31</v>
      </c>
      <c r="E27" s="28" t="str">
        <f>IF(Y26+Z26=0,"",CONCATENATE(Y26,":",Z26))</f>
        <v>0:3</v>
      </c>
      <c r="F27" s="29" t="str">
        <f>IF(Y29+Z29=0,"",CONCATENATE(Y29,":",Z29))</f>
        <v>2:3</v>
      </c>
      <c r="G27" s="34">
        <f>IF(AE26+AF28+AE29=0,"",AE26+AF28+AE29)</f>
        <v>3</v>
      </c>
      <c r="H27" s="115">
        <v>4</v>
      </c>
      <c r="J27" s="25" t="str">
        <f t="shared" si="30"/>
        <v>Kouřil Antonín - Tuč Michal</v>
      </c>
      <c r="K27" s="25" t="str">
        <f t="shared" si="31"/>
        <v>1 : 3 (-10,-10,5,-3)</v>
      </c>
      <c r="M27" s="122" t="str">
        <f>CONCATENATE("1.st. ",úvod!$C$8," - ",M24)</f>
        <v>1.st. U13 - Skupina D</v>
      </c>
      <c r="N27" s="122">
        <f>A29</f>
        <v>30</v>
      </c>
      <c r="O27" s="122" t="str">
        <f>IF($N27=0,"----------",VLOOKUP($N27,sez!$A$2:$C$258,2))</f>
        <v>Kouřil Antonín</v>
      </c>
      <c r="P27" s="122" t="str">
        <f>IF($N27=0,"",VLOOKUP($N27,sez!$A$2:$D$258,4))</f>
        <v>MK Řeznovice</v>
      </c>
      <c r="Q27" s="122">
        <f>A28</f>
        <v>13</v>
      </c>
      <c r="R27" s="122" t="str">
        <f>IF($Q27=0,"----------",VLOOKUP($Q27,sez!$A$2:$C$258,2))</f>
        <v>Tuč Michal</v>
      </c>
      <c r="S27" s="122" t="str">
        <f>IF($Q27=0,"",VLOOKUP($Q27,sez!$A$2:$D$258,4))</f>
        <v>Sokol Brno I</v>
      </c>
      <c r="T27" s="57" t="s">
        <v>139</v>
      </c>
      <c r="U27" s="58" t="s">
        <v>139</v>
      </c>
      <c r="V27" s="58" t="s">
        <v>123</v>
      </c>
      <c r="W27" s="58" t="s">
        <v>125</v>
      </c>
      <c r="X27" s="59"/>
      <c r="Y27" s="25">
        <f t="shared" si="32"/>
        <v>1</v>
      </c>
      <c r="Z27" s="25">
        <f t="shared" si="33"/>
        <v>3</v>
      </c>
      <c r="AA27" s="25">
        <f t="shared" si="34"/>
        <v>13</v>
      </c>
      <c r="AB27" s="25" t="str">
        <f>IF($AA27=0,"",VLOOKUP($AA27,sez!$A$2:$C$258,2))</f>
        <v>Tuč Michal</v>
      </c>
      <c r="AC27" s="25" t="str">
        <f t="shared" si="35"/>
        <v>3:1 (10,10,-5,3)</v>
      </c>
      <c r="AD27" s="25" t="str">
        <f t="shared" si="36"/>
        <v>3:1 (10,10,-5,3)</v>
      </c>
      <c r="AE27" s="123">
        <f t="shared" si="37"/>
        <v>1</v>
      </c>
      <c r="AF27" s="123">
        <f t="shared" si="38"/>
        <v>2</v>
      </c>
      <c r="AH27" s="123">
        <f t="shared" si="39"/>
        <v>-1</v>
      </c>
      <c r="AI27" s="123">
        <f t="shared" si="39"/>
        <v>-1</v>
      </c>
      <c r="AJ27" s="123">
        <f t="shared" si="39"/>
        <v>1</v>
      </c>
      <c r="AK27" s="123">
        <f t="shared" si="39"/>
        <v>-1</v>
      </c>
      <c r="AL27" s="123">
        <f t="shared" si="39"/>
        <v>0</v>
      </c>
      <c r="AN27" s="25" t="str">
        <f>CONCATENATE("&lt;/Table&gt;&lt;TD width=420&gt;&lt;Table&gt;")</f>
        <v>&lt;/Table&gt;&lt;TD width=420&gt;&lt;Table&gt;</v>
      </c>
      <c r="AO27" s="25" t="str">
        <f>CONCATENATE("&lt;TR&gt;&lt;TD&gt;",A27,"&lt;TD width=200&gt;",B27,"&lt;TD&gt;",C27,"&lt;TD&gt;",D27,"&lt;TD&gt;",E27,"&lt;TD&gt;",F27,"&lt;TD&gt;",G27,"&lt;TD&gt;",H27,"&lt;/TD&gt;&lt;/TR&gt;")</f>
        <v>&lt;TR&gt;&lt;TD&gt;19&lt;TD width=200&gt;Telecký Radovan (Orel Šlapanice)&lt;TD&gt;0:3&lt;TD&gt;XXX&lt;TD&gt;0:3&lt;TD&gt;2:3&lt;TD&gt;3&lt;TD&gt;4&lt;/TD&gt;&lt;/TR&gt;</v>
      </c>
      <c r="AP27" s="25" t="str">
        <f>CONCATENATE("&lt;TR&gt;&lt;TD&gt;",J27,"&lt;TD&gt;",K27,"&lt;/TD&gt;&lt;/TR&gt;")</f>
        <v>&lt;TR&gt;&lt;TD&gt;Kouřil Antonín - Tuč Michal&lt;TD&gt;1 : 3 (-10,-10,5,-3)&lt;/TD&gt;&lt;/TR&gt;</v>
      </c>
    </row>
    <row r="28" spans="1:42" ht="16.5" customHeight="1">
      <c r="A28" s="118">
        <v>13</v>
      </c>
      <c r="B28" s="32" t="str">
        <f>IF($A28="","",CONCATENATE(VLOOKUP($A28,sez!$A$2:$B$258,2)," (",VLOOKUP($A28,sez!$A$2:$E$259,4),")"))</f>
        <v>Tuč Michal (Sokol Brno I)</v>
      </c>
      <c r="C28" s="36" t="str">
        <f>IF(Y30+Z30=0,"",CONCATENATE(Y30,":",Z30))</f>
        <v>1:3</v>
      </c>
      <c r="D28" s="28" t="str">
        <f>IF(Y26+Z26=0,"",CONCATENATE(Z26,":",Y26))</f>
        <v>3:0</v>
      </c>
      <c r="E28" s="28" t="s">
        <v>31</v>
      </c>
      <c r="F28" s="29" t="str">
        <f>IF(Y27+Z27=0,"",CONCATENATE(Z27,":",Y27))</f>
        <v>3:1</v>
      </c>
      <c r="G28" s="34">
        <f>IF(AF26+AF27+AE30=0,"",AF26+AF27+AE30)</f>
        <v>5</v>
      </c>
      <c r="H28" s="115">
        <v>2</v>
      </c>
      <c r="J28" s="25" t="str">
        <f t="shared" si="30"/>
        <v>Štěpánek Adam - Telecký Radovan</v>
      </c>
      <c r="K28" s="25" t="str">
        <f t="shared" si="31"/>
        <v>3 : 0 (4,5,2)</v>
      </c>
      <c r="M28" s="122" t="str">
        <f>CONCATENATE("1.st. ",úvod!$C$8," - ",M24)</f>
        <v>1.st. U13 - Skupina D</v>
      </c>
      <c r="N28" s="122">
        <f>A26</f>
        <v>4</v>
      </c>
      <c r="O28" s="122" t="str">
        <f>IF($N28=0,"----------",VLOOKUP($N28,sez!$A$2:$C$258,2))</f>
        <v>Štěpánek Adam</v>
      </c>
      <c r="P28" s="122" t="str">
        <f>IF($N28=0,"",VLOOKUP($N28,sez!$A$2:$D$258,4))</f>
        <v>STP Mikulov</v>
      </c>
      <c r="Q28" s="122">
        <f>A27</f>
        <v>19</v>
      </c>
      <c r="R28" s="122" t="str">
        <f>IF($Q28=0,"----------",VLOOKUP($Q28,sez!$A$2:$C$258,2))</f>
        <v>Telecký Radovan</v>
      </c>
      <c r="S28" s="122" t="str">
        <f>IF($Q28=0,"",VLOOKUP($Q28,sez!$A$2:$D$258,4))</f>
        <v>Orel Šlapanice</v>
      </c>
      <c r="T28" s="57" t="s">
        <v>129</v>
      </c>
      <c r="U28" s="58" t="s">
        <v>123</v>
      </c>
      <c r="V28" s="58" t="s">
        <v>128</v>
      </c>
      <c r="W28" s="58"/>
      <c r="X28" s="59"/>
      <c r="Y28" s="25">
        <f t="shared" si="32"/>
        <v>3</v>
      </c>
      <c r="Z28" s="25">
        <f t="shared" si="33"/>
        <v>0</v>
      </c>
      <c r="AA28" s="25">
        <f t="shared" si="34"/>
        <v>4</v>
      </c>
      <c r="AB28" s="25" t="str">
        <f>IF($AA28=0,"",VLOOKUP($AA28,sez!$A$2:$C$258,2))</f>
        <v>Štěpánek Adam</v>
      </c>
      <c r="AC28" s="25" t="str">
        <f t="shared" si="35"/>
        <v>3:0 (4,5,2)</v>
      </c>
      <c r="AD28" s="25" t="str">
        <f t="shared" si="36"/>
        <v>3:0 (4,5,2)</v>
      </c>
      <c r="AE28" s="123">
        <f t="shared" si="37"/>
        <v>2</v>
      </c>
      <c r="AF28" s="123">
        <f t="shared" si="38"/>
        <v>1</v>
      </c>
      <c r="AH28" s="123">
        <f t="shared" si="39"/>
        <v>1</v>
      </c>
      <c r="AI28" s="123">
        <f t="shared" si="39"/>
        <v>1</v>
      </c>
      <c r="AJ28" s="123">
        <f t="shared" si="39"/>
        <v>1</v>
      </c>
      <c r="AK28" s="123">
        <f t="shared" si="39"/>
        <v>0</v>
      </c>
      <c r="AL28" s="123">
        <f t="shared" si="39"/>
        <v>0</v>
      </c>
      <c r="AN28" s="25" t="str">
        <f>CONCATENATE(AP25,AP26,AP27,AP28,AP29,AP30,)</f>
        <v>&lt;TR&gt;&lt;TD width=250&gt;Štěpánek Adam - Kouřil Antonín&lt;TD&gt;3 : 1 (5,-9,9,1)&lt;/TD&gt;&lt;/TR&gt;&lt;TR&gt;&lt;TD&gt;Telecký Radovan - Tuč Michal&lt;TD&gt;0 : 3 (-6,-6,-7)&lt;/TD&gt;&lt;/TR&gt;&lt;TR&gt;&lt;TD&gt;Kouřil Antonín - Tuč Michal&lt;TD&gt;1 : 3 (-10,-10,5,-3)&lt;/TD&gt;&lt;/TR&gt;&lt;TR&gt;&lt;TD&gt;Štěpánek Adam - Telecký Radovan&lt;TD&gt;3 : 0 (4,5,2)&lt;/TD&gt;&lt;/TR&gt;&lt;TR&gt;&lt;TD&gt;Telecký Radovan - Kouřil Antonín&lt;TD&gt;2 : 3 (-9,8,-6,9,-7)&lt;/TD&gt;&lt;/TR&gt;&lt;TR&gt;&lt;TD&gt;Tuč Michal - Štěpánek Adam&lt;TD&gt;1 : 3 (-6,9,-5,-7)&lt;/TD&gt;&lt;/TR&gt;</v>
      </c>
      <c r="AO28" s="25" t="str">
        <f>CONCATENATE("&lt;TR&gt;&lt;TD&gt;",A28,"&lt;TD width=200&gt;",B28,"&lt;TD&gt;",C28,"&lt;TD&gt;",D28,"&lt;TD&gt;",E28,"&lt;TD&gt;",F28,"&lt;TD&gt;",G28,"&lt;TD&gt;",H28,"&lt;/TD&gt;&lt;/TR&gt;")</f>
        <v>&lt;TR&gt;&lt;TD&gt;13&lt;TD width=200&gt;Tuč Michal (Sokol Brno I)&lt;TD&gt;1:3&lt;TD&gt;3:0&lt;TD&gt;XXX&lt;TD&gt;3:1&lt;TD&gt;5&lt;TD&gt;2&lt;/TD&gt;&lt;/TR&gt;</v>
      </c>
      <c r="AP28" s="25" t="str">
        <f>CONCATENATE("&lt;TR&gt;&lt;TD&gt;",J28,"&lt;TD&gt;",K28,"&lt;/TD&gt;&lt;/TR&gt;")</f>
        <v>&lt;TR&gt;&lt;TD&gt;Štěpánek Adam - Telecký Radovan&lt;TD&gt;3 : 0 (4,5,2)&lt;/TD&gt;&lt;/TR&gt;</v>
      </c>
    </row>
    <row r="29" spans="1:42" ht="16.5" customHeight="1" thickBot="1">
      <c r="A29" s="119">
        <v>30</v>
      </c>
      <c r="B29" s="33" t="str">
        <f>IF($A29="","",CONCATENATE(VLOOKUP($A29,sez!$A$2:$B$258,2)," (",VLOOKUP($A29,sez!$A$2:$E$259,4),")"))</f>
        <v>Kouřil Antonín (MK Řeznovice)</v>
      </c>
      <c r="C29" s="37" t="str">
        <f>IF(Y25+Z25=0,"",CONCATENATE(Z25,":",Y25))</f>
        <v>1:3</v>
      </c>
      <c r="D29" s="30" t="str">
        <f>IF(Y29+Z29=0,"",CONCATENATE(Z29,":",Y29))</f>
        <v>3:2</v>
      </c>
      <c r="E29" s="30" t="str">
        <f>IF(Y27+Z27=0,"",CONCATENATE(Y27,":",Z27))</f>
        <v>1:3</v>
      </c>
      <c r="F29" s="31" t="s">
        <v>31</v>
      </c>
      <c r="G29" s="35">
        <f>IF(AF25+AE27+AF29=0,"",AF25+AE27+AF29)</f>
        <v>4</v>
      </c>
      <c r="H29" s="116">
        <v>3</v>
      </c>
      <c r="J29" s="25" t="str">
        <f t="shared" si="30"/>
        <v>Telecký Radovan - Kouřil Antonín</v>
      </c>
      <c r="K29" s="25" t="str">
        <f t="shared" si="31"/>
        <v>2 : 3 (-9,8,-6,9,-7)</v>
      </c>
      <c r="M29" s="122" t="str">
        <f>CONCATENATE("1.st. ",úvod!$C$8," - ",M24)</f>
        <v>1.st. U13 - Skupina D</v>
      </c>
      <c r="N29" s="122">
        <f>A27</f>
        <v>19</v>
      </c>
      <c r="O29" s="122" t="str">
        <f>IF($N29=0,"----------",VLOOKUP($N29,sez!$A$2:$C$258,2))</f>
        <v>Telecký Radovan</v>
      </c>
      <c r="P29" s="122" t="str">
        <f>IF($N29=0,"",VLOOKUP($N29,sez!$A$2:$D$258,4))</f>
        <v>Orel Šlapanice</v>
      </c>
      <c r="Q29" s="122">
        <f>A29</f>
        <v>30</v>
      </c>
      <c r="R29" s="122" t="str">
        <f>IF($Q29=0,"----------",VLOOKUP($Q29,sez!$A$2:$C$258,2))</f>
        <v>Kouřil Antonín</v>
      </c>
      <c r="S29" s="122" t="str">
        <f>IF($Q29=0,"",VLOOKUP($Q29,sez!$A$2:$D$258,4))</f>
        <v>MK Řeznovice</v>
      </c>
      <c r="T29" s="57" t="s">
        <v>120</v>
      </c>
      <c r="U29" s="58" t="s">
        <v>130</v>
      </c>
      <c r="V29" s="58" t="s">
        <v>137</v>
      </c>
      <c r="W29" s="58" t="s">
        <v>121</v>
      </c>
      <c r="X29" s="59" t="s">
        <v>124</v>
      </c>
      <c r="Y29" s="25">
        <f t="shared" si="32"/>
        <v>2</v>
      </c>
      <c r="Z29" s="25">
        <f t="shared" si="33"/>
        <v>3</v>
      </c>
      <c r="AA29" s="25">
        <f t="shared" si="34"/>
        <v>30</v>
      </c>
      <c r="AB29" s="25" t="str">
        <f>IF($AA29=0,"",VLOOKUP($AA29,sez!$A$2:$C$258,2))</f>
        <v>Kouřil Antonín</v>
      </c>
      <c r="AC29" s="25" t="str">
        <f t="shared" si="35"/>
        <v>3:2 (9,-8,6,-9,7)</v>
      </c>
      <c r="AD29" s="25" t="str">
        <f t="shared" si="36"/>
        <v>3:2 (9,-8,6,-9,7)</v>
      </c>
      <c r="AE29" s="123">
        <f t="shared" si="37"/>
        <v>1</v>
      </c>
      <c r="AF29" s="123">
        <f t="shared" si="38"/>
        <v>2</v>
      </c>
      <c r="AH29" s="123">
        <f t="shared" si="39"/>
        <v>-1</v>
      </c>
      <c r="AI29" s="123">
        <f t="shared" si="39"/>
        <v>1</v>
      </c>
      <c r="AJ29" s="123">
        <f t="shared" si="39"/>
        <v>-1</v>
      </c>
      <c r="AK29" s="123">
        <f t="shared" si="39"/>
        <v>1</v>
      </c>
      <c r="AL29" s="123">
        <f t="shared" si="39"/>
        <v>-1</v>
      </c>
      <c r="AN29" s="25" t="str">
        <f>CONCATENATE("&lt;/Table&gt;&lt;/TD&gt;&lt;/TR&gt;&lt;/Table&gt;&lt;P&gt;")</f>
        <v>&lt;/Table&gt;&lt;/TD&gt;&lt;/TR&gt;&lt;/Table&gt;&lt;P&gt;</v>
      </c>
      <c r="AO29" s="25" t="str">
        <f>CONCATENATE("&lt;TR&gt;&lt;TD&gt;",A29,"&lt;TD width=200&gt;",B29,"&lt;TD&gt;",C29,"&lt;TD&gt;",D29,"&lt;TD&gt;",E29,"&lt;TD&gt;",F29,"&lt;TD&gt;",G29,"&lt;TD&gt;",H29,"&lt;/TD&gt;&lt;/TR&gt;")</f>
        <v>&lt;TR&gt;&lt;TD&gt;30&lt;TD width=200&gt;Kouřil Antonín (MK Řeznovice)&lt;TD&gt;1:3&lt;TD&gt;3:2&lt;TD&gt;1:3&lt;TD&gt;XXX&lt;TD&gt;4&lt;TD&gt;3&lt;/TD&gt;&lt;/TR&gt;</v>
      </c>
      <c r="AP29" s="25" t="str">
        <f>CONCATENATE("&lt;TR&gt;&lt;TD&gt;",J29,"&lt;TD&gt;",K29,"&lt;/TD&gt;&lt;/TR&gt;")</f>
        <v>&lt;TR&gt;&lt;TD&gt;Telecký Radovan - Kouřil Antonín&lt;TD&gt;2 : 3 (-9,8,-6,9,-7)&lt;/TD&gt;&lt;/TR&gt;</v>
      </c>
    </row>
    <row r="30" spans="10:42" ht="16.5" customHeight="1" thickBot="1" thickTop="1">
      <c r="J30" s="25" t="str">
        <f t="shared" si="30"/>
        <v>Tuč Michal - Štěpánek Adam</v>
      </c>
      <c r="K30" s="25" t="str">
        <f t="shared" si="31"/>
        <v>1 : 3 (-6,9,-5,-7)</v>
      </c>
      <c r="M30" s="122" t="str">
        <f>CONCATENATE("1.st. ",úvod!$C$8," - ",M24)</f>
        <v>1.st. U13 - Skupina D</v>
      </c>
      <c r="N30" s="122">
        <f>A28</f>
        <v>13</v>
      </c>
      <c r="O30" s="122" t="str">
        <f>IF($N30=0,"----------",VLOOKUP($N30,sez!$A$2:$C$258,2))</f>
        <v>Tuč Michal</v>
      </c>
      <c r="P30" s="122" t="str">
        <f>IF($N30=0,"",VLOOKUP($N30,sez!$A$2:$D$258,4))</f>
        <v>Sokol Brno I</v>
      </c>
      <c r="Q30" s="122">
        <f>A26</f>
        <v>4</v>
      </c>
      <c r="R30" s="122" t="str">
        <f>IF($Q30=0,"----------",VLOOKUP($Q30,sez!$A$2:$C$258,2))</f>
        <v>Štěpánek Adam</v>
      </c>
      <c r="S30" s="122" t="str">
        <f>IF($Q30=0,"",VLOOKUP($Q30,sez!$A$2:$D$258,4))</f>
        <v>STP Mikulov</v>
      </c>
      <c r="T30" s="60" t="s">
        <v>137</v>
      </c>
      <c r="U30" s="61" t="s">
        <v>121</v>
      </c>
      <c r="V30" s="61" t="s">
        <v>135</v>
      </c>
      <c r="W30" s="61" t="s">
        <v>124</v>
      </c>
      <c r="X30" s="62"/>
      <c r="Y30" s="25">
        <f t="shared" si="32"/>
        <v>1</v>
      </c>
      <c r="Z30" s="25">
        <f t="shared" si="33"/>
        <v>3</v>
      </c>
      <c r="AA30" s="25">
        <f t="shared" si="34"/>
        <v>4</v>
      </c>
      <c r="AB30" s="25" t="str">
        <f>IF($AA30=0,"",VLOOKUP($AA30,sez!$A$2:$C$258,2))</f>
        <v>Štěpánek Adam</v>
      </c>
      <c r="AC30" s="25" t="str">
        <f t="shared" si="35"/>
        <v>3:1 (6,-9,5,7)</v>
      </c>
      <c r="AD30" s="25" t="str">
        <f t="shared" si="36"/>
        <v>3:1 (6,-9,5,7)</v>
      </c>
      <c r="AE30" s="123">
        <f t="shared" si="37"/>
        <v>1</v>
      </c>
      <c r="AF30" s="123">
        <f t="shared" si="38"/>
        <v>2</v>
      </c>
      <c r="AH30" s="123">
        <f t="shared" si="39"/>
        <v>-1</v>
      </c>
      <c r="AI30" s="123">
        <f t="shared" si="39"/>
        <v>1</v>
      </c>
      <c r="AJ30" s="123">
        <f t="shared" si="39"/>
        <v>-1</v>
      </c>
      <c r="AK30" s="123">
        <f t="shared" si="39"/>
        <v>-1</v>
      </c>
      <c r="AL30" s="123">
        <f t="shared" si="39"/>
        <v>0</v>
      </c>
      <c r="AP30" s="25" t="str">
        <f>CONCATENATE("&lt;TR&gt;&lt;TD&gt;",J30,"&lt;TD&gt;",K30,"&lt;/TD&gt;&lt;/TR&gt;")</f>
        <v>&lt;TR&gt;&lt;TD&gt;Tuč Michal - Štěpánek Adam&lt;TD&gt;1 : 3 (-6,9,-5,-7)&lt;/TD&gt;&lt;/TR&gt;</v>
      </c>
    </row>
    <row r="31" spans="13:40" ht="16.5" customHeight="1" thickBot="1" thickTop="1">
      <c r="M31" s="26" t="str">
        <f>B32</f>
        <v>Skupina E</v>
      </c>
      <c r="N31" s="26" t="s">
        <v>0</v>
      </c>
      <c r="O31" s="26" t="s">
        <v>1</v>
      </c>
      <c r="P31" s="26" t="s">
        <v>2</v>
      </c>
      <c r="Q31" s="26" t="s">
        <v>0</v>
      </c>
      <c r="R31" s="26" t="s">
        <v>3</v>
      </c>
      <c r="S31" s="26" t="s">
        <v>2</v>
      </c>
      <c r="T31" s="27" t="s">
        <v>4</v>
      </c>
      <c r="U31" s="27" t="s">
        <v>5</v>
      </c>
      <c r="V31" s="27" t="s">
        <v>6</v>
      </c>
      <c r="W31" s="27" t="s">
        <v>7</v>
      </c>
      <c r="X31" s="27" t="s">
        <v>8</v>
      </c>
      <c r="Y31" s="26" t="s">
        <v>9</v>
      </c>
      <c r="Z31" s="26" t="s">
        <v>10</v>
      </c>
      <c r="AA31" s="26" t="s">
        <v>11</v>
      </c>
      <c r="AN31" s="25" t="s">
        <v>18</v>
      </c>
    </row>
    <row r="32" spans="1:42" ht="16.5" customHeight="1" thickBot="1" thickTop="1">
      <c r="A32" s="43"/>
      <c r="B32" s="44" t="s">
        <v>24</v>
      </c>
      <c r="C32" s="45">
        <v>1</v>
      </c>
      <c r="D32" s="46">
        <v>2</v>
      </c>
      <c r="E32" s="46">
        <v>3</v>
      </c>
      <c r="F32" s="47">
        <v>4</v>
      </c>
      <c r="G32" s="48" t="s">
        <v>16</v>
      </c>
      <c r="H32" s="47" t="s">
        <v>17</v>
      </c>
      <c r="J32" s="25" t="str">
        <f aca="true" t="shared" si="40" ref="J32:J37">CONCATENATE(O32," - ",R32)</f>
        <v>Solfronk Adam - Chloupek Tomáš</v>
      </c>
      <c r="K32" s="25" t="str">
        <f aca="true" t="shared" si="41" ref="K32:K37">IF(SUM(Y32:Z32)=0,AD32,CONCATENATE(Y32," : ",Z32," (",T32,",",U32,",",V32,IF(Y32+Z32&gt;3,",",""),W32,IF(Y32+Z32&gt;4,",",""),X32,")"))</f>
        <v>3 : 0 (2,2,2)</v>
      </c>
      <c r="M32" s="122" t="str">
        <f>CONCATENATE("1.st. ",úvod!$C$8," - ",M31)</f>
        <v>1.st. U13 - Skupina E</v>
      </c>
      <c r="N32" s="122">
        <f>A33</f>
        <v>5</v>
      </c>
      <c r="O32" s="122" t="str">
        <f>IF($N32=0,"----------",VLOOKUP($N32,sez!$A$2:$C$258,2))</f>
        <v>Solfronk Adam</v>
      </c>
      <c r="P32" s="122" t="str">
        <f>IF($N32=0,"",VLOOKUP($N32,sez!$A$2:$D$258,4))</f>
        <v>MS Brno</v>
      </c>
      <c r="Q32" s="122">
        <f>A36</f>
        <v>27</v>
      </c>
      <c r="R32" s="122" t="str">
        <f>IF($Q32=0,"----------",VLOOKUP($Q32,sez!$A$2:$C$258,2))</f>
        <v>Chloupek Tomáš</v>
      </c>
      <c r="S32" s="122" t="str">
        <f>IF($Q32=0,"",VLOOKUP($Q32,sez!$A$2:$D$258,4))</f>
        <v>KST Kunštát</v>
      </c>
      <c r="T32" s="54" t="s">
        <v>128</v>
      </c>
      <c r="U32" s="55" t="s">
        <v>128</v>
      </c>
      <c r="V32" s="55" t="s">
        <v>128</v>
      </c>
      <c r="W32" s="55"/>
      <c r="X32" s="56"/>
      <c r="Y32" s="25">
        <f aca="true" t="shared" si="42" ref="Y32:Y37">COUNTIF(AH32:AL32,"&gt;0")</f>
        <v>3</v>
      </c>
      <c r="Z32" s="25">
        <f aca="true" t="shared" si="43" ref="Z32:Z37">COUNTIF(AH32:AL32,"&lt;0")</f>
        <v>0</v>
      </c>
      <c r="AA32" s="25">
        <f aca="true" t="shared" si="44" ref="AA32:AA37">IF(Y32=Z32,0,IF(Y32&gt;Z32,N32,Q32))</f>
        <v>5</v>
      </c>
      <c r="AB32" s="25" t="str">
        <f>IF($AA32=0,"",VLOOKUP($AA32,sez!$A$2:$C$258,2))</f>
        <v>Solfronk Adam</v>
      </c>
      <c r="AC32" s="25" t="str">
        <f aca="true" t="shared" si="45" ref="AC32:AC37">IF(Y32=Z32,"",IF(Y32&gt;Z32,CONCATENATE(Y32,":",Z32," (",T32,",",U32,",",V32,IF(SUM(Y32:Z32)&gt;3,",",""),W32,IF(SUM(Y32:Z32)&gt;4,",",""),X32,")"),CONCATENATE(Z32,":",Y32," (",-T32,",",-U32,",",-V32,IF(SUM(Y32:Z32)&gt;3,CONCATENATE(",",-W32),""),IF(SUM(Y32:Z32)&gt;4,CONCATENATE(",",-X32),""),")")))</f>
        <v>3:0 (2,2,2)</v>
      </c>
      <c r="AD32" s="25" t="str">
        <f aca="true" t="shared" si="46" ref="AD32:AD37">IF(SUM(Y32:Z32)=0,"",AC32)</f>
        <v>3:0 (2,2,2)</v>
      </c>
      <c r="AE32" s="123">
        <f aca="true" t="shared" si="47" ref="AE32:AE37">IF(T32="",0,IF(Y32&gt;Z32,2,1))</f>
        <v>2</v>
      </c>
      <c r="AF32" s="123">
        <f aca="true" t="shared" si="48" ref="AF32:AF37">IF(T32="",0,IF(Z32&gt;Y32,2,1))</f>
        <v>1</v>
      </c>
      <c r="AH32" s="123">
        <f aca="true" t="shared" si="49" ref="AH32:AL37">IF(T32="",0,IF(MID(T32,1,1)="-",-1,1))</f>
        <v>1</v>
      </c>
      <c r="AI32" s="123">
        <f t="shared" si="49"/>
        <v>1</v>
      </c>
      <c r="AJ32" s="123">
        <f t="shared" si="49"/>
        <v>1</v>
      </c>
      <c r="AK32" s="123">
        <f t="shared" si="49"/>
        <v>0</v>
      </c>
      <c r="AL32" s="123">
        <f t="shared" si="49"/>
        <v>0</v>
      </c>
      <c r="AN32" s="25" t="str">
        <f>CONCATENATE("&lt;Table border=1 cellpading=0 cellspacing=0 width=480&gt;&lt;TR&gt;&lt;TH colspan=2&gt;",B32,"&lt;TH&gt;1&lt;TH&gt;2&lt;TH&gt;3&lt;TH&gt;4&lt;TH&gt;Body&lt;TH&gt;Pořadí&lt;/TH&gt;&lt;/TR&gt;")</f>
        <v>&lt;Table border=1 cellpading=0 cellspacing=0 width=480&gt;&lt;TR&gt;&lt;TH colspan=2&gt;Skupina E&lt;TH&gt;1&lt;TH&gt;2&lt;TH&gt;3&lt;TH&gt;4&lt;TH&gt;Body&lt;TH&gt;Pořadí&lt;/TH&gt;&lt;/TR&gt;</v>
      </c>
      <c r="AP32" s="25" t="str">
        <f>CONCATENATE("&lt;TR&gt;&lt;TD width=250&gt;",J32,"&lt;TD&gt;",K32,"&lt;/TD&gt;&lt;/TR&gt;")</f>
        <v>&lt;TR&gt;&lt;TD width=250&gt;Solfronk Adam - Chloupek Tomáš&lt;TD&gt;3 : 0 (2,2,2)&lt;/TD&gt;&lt;/TR&gt;</v>
      </c>
    </row>
    <row r="33" spans="1:42" ht="16.5" customHeight="1" thickTop="1">
      <c r="A33" s="117">
        <v>5</v>
      </c>
      <c r="B33" s="38" t="str">
        <f>IF($A33="","",CONCATENATE(VLOOKUP($A33,sez!$A$2:$B$258,2)," (",VLOOKUP($A33,sez!$A$2:$E$259,4),")"))</f>
        <v>Solfronk Adam (MS Brno)</v>
      </c>
      <c r="C33" s="39" t="s">
        <v>31</v>
      </c>
      <c r="D33" s="40" t="str">
        <f>IF(Y35+Z35=0,"",CONCATENATE(Y35,":",Z35))</f>
        <v>3:1</v>
      </c>
      <c r="E33" s="40" t="str">
        <f>IF(Y37+Z37=0,"",CONCATENATE(Z37,":",Y37))</f>
        <v>3:0</v>
      </c>
      <c r="F33" s="41" t="str">
        <f>IF(Y32+Z32=0,"",CONCATENATE(Y32,":",Z32))</f>
        <v>3:0</v>
      </c>
      <c r="G33" s="42">
        <f>IF(AE32+AE35+AF37=0,"",AE32+AE35+AF37)</f>
        <v>6</v>
      </c>
      <c r="H33" s="114">
        <v>1</v>
      </c>
      <c r="J33" s="25" t="str">
        <f t="shared" si="40"/>
        <v>Sýkora Marek - Křepela David</v>
      </c>
      <c r="K33" s="25" t="str">
        <f t="shared" si="41"/>
        <v>3 : 0 (5,3,9)</v>
      </c>
      <c r="M33" s="122" t="str">
        <f>CONCATENATE("1.st. ",úvod!$C$8," - ",M31)</f>
        <v>1.st. U13 - Skupina E</v>
      </c>
      <c r="N33" s="122">
        <f>A34</f>
        <v>17</v>
      </c>
      <c r="O33" s="122" t="str">
        <f>IF($N33=0,"----------",VLOOKUP($N33,sez!$A$2:$C$258,2))</f>
        <v>Sýkora Marek</v>
      </c>
      <c r="P33" s="122" t="str">
        <f>IF($N33=0,"",VLOOKUP($N33,sez!$A$2:$D$258,4))</f>
        <v>STP Mikulov</v>
      </c>
      <c r="Q33" s="122">
        <f>A35</f>
        <v>10</v>
      </c>
      <c r="R33" s="122" t="str">
        <f>IF($Q33=0,"----------",VLOOKUP($Q33,sez!$A$2:$C$258,2))</f>
        <v>Křepela David</v>
      </c>
      <c r="S33" s="122" t="str">
        <f>IF($Q33=0,"",VLOOKUP($Q33,sez!$A$2:$D$258,4))</f>
        <v>STK Zbraslavec</v>
      </c>
      <c r="T33" s="57" t="s">
        <v>123</v>
      </c>
      <c r="U33" s="58" t="s">
        <v>132</v>
      </c>
      <c r="V33" s="58" t="s">
        <v>121</v>
      </c>
      <c r="W33" s="58"/>
      <c r="X33" s="59"/>
      <c r="Y33" s="25">
        <f t="shared" si="42"/>
        <v>3</v>
      </c>
      <c r="Z33" s="25">
        <f t="shared" si="43"/>
        <v>0</v>
      </c>
      <c r="AA33" s="25">
        <f t="shared" si="44"/>
        <v>17</v>
      </c>
      <c r="AB33" s="25" t="str">
        <f>IF($AA33=0,"",VLOOKUP($AA33,sez!$A$2:$C$258,2))</f>
        <v>Sýkora Marek</v>
      </c>
      <c r="AC33" s="25" t="str">
        <f t="shared" si="45"/>
        <v>3:0 (5,3,9)</v>
      </c>
      <c r="AD33" s="25" t="str">
        <f t="shared" si="46"/>
        <v>3:0 (5,3,9)</v>
      </c>
      <c r="AE33" s="123">
        <f t="shared" si="47"/>
        <v>2</v>
      </c>
      <c r="AF33" s="123">
        <f t="shared" si="48"/>
        <v>1</v>
      </c>
      <c r="AH33" s="123">
        <f t="shared" si="49"/>
        <v>1</v>
      </c>
      <c r="AI33" s="123">
        <f t="shared" si="49"/>
        <v>1</v>
      </c>
      <c r="AJ33" s="123">
        <f t="shared" si="49"/>
        <v>1</v>
      </c>
      <c r="AK33" s="123">
        <f t="shared" si="49"/>
        <v>0</v>
      </c>
      <c r="AL33" s="123">
        <f t="shared" si="49"/>
        <v>0</v>
      </c>
      <c r="AN33" s="25" t="str">
        <f>CONCATENATE(AO33,AO34,AO35,AO36,)</f>
        <v>&lt;TR&gt;&lt;TD&gt;5&lt;TD width=200&gt;Solfronk Adam (MS Brno)&lt;TD&gt;XXX&lt;TD&gt;3:1&lt;TD&gt;3:0&lt;TD&gt;3:0&lt;TD&gt;6&lt;TD&gt;1&lt;/TD&gt;&lt;/TR&gt;&lt;TR&gt;&lt;TD&gt;17&lt;TD width=200&gt;Sýkora Marek (STP Mikulov)&lt;TD&gt;1:3&lt;TD&gt;XXX&lt;TD&gt;3:0&lt;TD&gt;2:3&lt;TD&gt;4&lt;TD&gt;3&lt;/TD&gt;&lt;/TR&gt;&lt;TR&gt;&lt;TD&gt;10&lt;TD width=200&gt;Křepela David (STK Zbraslavec)&lt;TD&gt;0:3&lt;TD&gt;0:3&lt;TD&gt;XXX&lt;TD&gt;1:3&lt;TD&gt;3&lt;TD&gt;4&lt;/TD&gt;&lt;/TR&gt;&lt;TR&gt;&lt;TD&gt;27&lt;TD width=200&gt;Chloupek Tomáš (KST Kunštát)&lt;TD&gt;0:3&lt;TD&gt;3:2&lt;TD&gt;3:1&lt;TD&gt;XXX&lt;TD&gt;5&lt;TD&gt;2&lt;/TD&gt;&lt;/TR&gt;</v>
      </c>
      <c r="AO33" s="25" t="str">
        <f>CONCATENATE("&lt;TR&gt;&lt;TD&gt;",A33,"&lt;TD width=200&gt;",B33,"&lt;TD&gt;",C33,"&lt;TD&gt;",D33,"&lt;TD&gt;",E33,"&lt;TD&gt;",F33,"&lt;TD&gt;",G33,"&lt;TD&gt;",H33,"&lt;/TD&gt;&lt;/TR&gt;")</f>
        <v>&lt;TR&gt;&lt;TD&gt;5&lt;TD width=200&gt;Solfronk Adam (MS Brno)&lt;TD&gt;XXX&lt;TD&gt;3:1&lt;TD&gt;3:0&lt;TD&gt;3:0&lt;TD&gt;6&lt;TD&gt;1&lt;/TD&gt;&lt;/TR&gt;</v>
      </c>
      <c r="AP33" s="25" t="str">
        <f>CONCATENATE("&lt;TR&gt;&lt;TD&gt;",J33,"&lt;TD&gt;",K33,"&lt;/TD&gt;&lt;/TR&gt;")</f>
        <v>&lt;TR&gt;&lt;TD&gt;Sýkora Marek - Křepela David&lt;TD&gt;3 : 0 (5,3,9)&lt;/TD&gt;&lt;/TR&gt;</v>
      </c>
    </row>
    <row r="34" spans="1:42" ht="16.5" customHeight="1">
      <c r="A34" s="118">
        <v>17</v>
      </c>
      <c r="B34" s="32" t="str">
        <f>IF($A34="","",CONCATENATE(VLOOKUP($A34,sez!$A$2:$B$258,2)," (",VLOOKUP($A34,sez!$A$2:$E$259,4),")"))</f>
        <v>Sýkora Marek (STP Mikulov)</v>
      </c>
      <c r="C34" s="36" t="str">
        <f>IF(Y35+Z35=0,"",CONCATENATE(Z35,":",Y35))</f>
        <v>1:3</v>
      </c>
      <c r="D34" s="28" t="s">
        <v>31</v>
      </c>
      <c r="E34" s="28" t="str">
        <f>IF(Y33+Z33=0,"",CONCATENATE(Y33,":",Z33))</f>
        <v>3:0</v>
      </c>
      <c r="F34" s="29" t="str">
        <f>IF(Y36+Z36=0,"",CONCATENATE(Y36,":",Z36))</f>
        <v>2:3</v>
      </c>
      <c r="G34" s="34">
        <f>IF(AE33+AF35+AE36=0,"",AE33+AF35+AE36)</f>
        <v>4</v>
      </c>
      <c r="H34" s="115">
        <v>3</v>
      </c>
      <c r="J34" s="25" t="str">
        <f t="shared" si="40"/>
        <v>Chloupek Tomáš - Křepela David</v>
      </c>
      <c r="K34" s="25" t="str">
        <f t="shared" si="41"/>
        <v>3 : 1 (-9,9,10,5)</v>
      </c>
      <c r="M34" s="122" t="str">
        <f>CONCATENATE("1.st. ",úvod!$C$8," - ",M31)</f>
        <v>1.st. U13 - Skupina E</v>
      </c>
      <c r="N34" s="122">
        <f>A36</f>
        <v>27</v>
      </c>
      <c r="O34" s="122" t="str">
        <f>IF($N34=0,"----------",VLOOKUP($N34,sez!$A$2:$C$258,2))</f>
        <v>Chloupek Tomáš</v>
      </c>
      <c r="P34" s="122" t="str">
        <f>IF($N34=0,"",VLOOKUP($N34,sez!$A$2:$D$258,4))</f>
        <v>KST Kunštát</v>
      </c>
      <c r="Q34" s="122">
        <f>A35</f>
        <v>10</v>
      </c>
      <c r="R34" s="122" t="str">
        <f>IF($Q34=0,"----------",VLOOKUP($Q34,sez!$A$2:$C$258,2))</f>
        <v>Křepela David</v>
      </c>
      <c r="S34" s="122" t="str">
        <f>IF($Q34=0,"",VLOOKUP($Q34,sez!$A$2:$D$258,4))</f>
        <v>STK Zbraslavec</v>
      </c>
      <c r="T34" s="57" t="s">
        <v>120</v>
      </c>
      <c r="U34" s="58" t="s">
        <v>121</v>
      </c>
      <c r="V34" s="58" t="s">
        <v>122</v>
      </c>
      <c r="W34" s="58" t="s">
        <v>123</v>
      </c>
      <c r="X34" s="59"/>
      <c r="Y34" s="25">
        <f t="shared" si="42"/>
        <v>3</v>
      </c>
      <c r="Z34" s="25">
        <f t="shared" si="43"/>
        <v>1</v>
      </c>
      <c r="AA34" s="25">
        <f t="shared" si="44"/>
        <v>27</v>
      </c>
      <c r="AB34" s="25" t="str">
        <f>IF($AA34=0,"",VLOOKUP($AA34,sez!$A$2:$C$258,2))</f>
        <v>Chloupek Tomáš</v>
      </c>
      <c r="AC34" s="25" t="str">
        <f t="shared" si="45"/>
        <v>3:1 (-9,9,10,5)</v>
      </c>
      <c r="AD34" s="25" t="str">
        <f t="shared" si="46"/>
        <v>3:1 (-9,9,10,5)</v>
      </c>
      <c r="AE34" s="123">
        <f t="shared" si="47"/>
        <v>2</v>
      </c>
      <c r="AF34" s="123">
        <f t="shared" si="48"/>
        <v>1</v>
      </c>
      <c r="AH34" s="123">
        <f t="shared" si="49"/>
        <v>-1</v>
      </c>
      <c r="AI34" s="123">
        <f t="shared" si="49"/>
        <v>1</v>
      </c>
      <c r="AJ34" s="123">
        <f t="shared" si="49"/>
        <v>1</v>
      </c>
      <c r="AK34" s="123">
        <f t="shared" si="49"/>
        <v>1</v>
      </c>
      <c r="AL34" s="123">
        <f t="shared" si="49"/>
        <v>0</v>
      </c>
      <c r="AN34" s="25" t="str">
        <f>CONCATENATE("&lt;/Table&gt;&lt;TD width=420&gt;&lt;Table&gt;")</f>
        <v>&lt;/Table&gt;&lt;TD width=420&gt;&lt;Table&gt;</v>
      </c>
      <c r="AO34" s="25" t="str">
        <f>CONCATENATE("&lt;TR&gt;&lt;TD&gt;",A34,"&lt;TD width=200&gt;",B34,"&lt;TD&gt;",C34,"&lt;TD&gt;",D34,"&lt;TD&gt;",E34,"&lt;TD&gt;",F34,"&lt;TD&gt;",G34,"&lt;TD&gt;",H34,"&lt;/TD&gt;&lt;/TR&gt;")</f>
        <v>&lt;TR&gt;&lt;TD&gt;17&lt;TD width=200&gt;Sýkora Marek (STP Mikulov)&lt;TD&gt;1:3&lt;TD&gt;XXX&lt;TD&gt;3:0&lt;TD&gt;2:3&lt;TD&gt;4&lt;TD&gt;3&lt;/TD&gt;&lt;/TR&gt;</v>
      </c>
      <c r="AP34" s="25" t="str">
        <f>CONCATENATE("&lt;TR&gt;&lt;TD&gt;",J34,"&lt;TD&gt;",K34,"&lt;/TD&gt;&lt;/TR&gt;")</f>
        <v>&lt;TR&gt;&lt;TD&gt;Chloupek Tomáš - Křepela David&lt;TD&gt;3 : 1 (-9,9,10,5)&lt;/TD&gt;&lt;/TR&gt;</v>
      </c>
    </row>
    <row r="35" spans="1:42" ht="16.5" customHeight="1">
      <c r="A35" s="118">
        <v>10</v>
      </c>
      <c r="B35" s="32" t="str">
        <f>IF($A35="","",CONCATENATE(VLOOKUP($A35,sez!$A$2:$B$258,2)," (",VLOOKUP($A35,sez!$A$2:$E$259,4),")"))</f>
        <v>Křepela David (STK Zbraslavec)</v>
      </c>
      <c r="C35" s="36" t="str">
        <f>IF(Y37+Z37=0,"",CONCATENATE(Y37,":",Z37))</f>
        <v>0:3</v>
      </c>
      <c r="D35" s="28" t="str">
        <f>IF(Y33+Z33=0,"",CONCATENATE(Z33,":",Y33))</f>
        <v>0:3</v>
      </c>
      <c r="E35" s="28" t="s">
        <v>31</v>
      </c>
      <c r="F35" s="29" t="str">
        <f>IF(Y34+Z34=0,"",CONCATENATE(Z34,":",Y34))</f>
        <v>1:3</v>
      </c>
      <c r="G35" s="34">
        <f>IF(AF33+AF34+AE37=0,"",AF33+AF34+AE37)</f>
        <v>3</v>
      </c>
      <c r="H35" s="115">
        <v>4</v>
      </c>
      <c r="J35" s="25" t="str">
        <f t="shared" si="40"/>
        <v>Solfronk Adam - Sýkora Marek</v>
      </c>
      <c r="K35" s="25" t="str">
        <f t="shared" si="41"/>
        <v>3 : 1 (8,7,-6,3)</v>
      </c>
      <c r="M35" s="122" t="str">
        <f>CONCATENATE("1.st. ",úvod!$C$8," - ",M31)</f>
        <v>1.st. U13 - Skupina E</v>
      </c>
      <c r="N35" s="122">
        <f>A33</f>
        <v>5</v>
      </c>
      <c r="O35" s="122" t="str">
        <f>IF($N35=0,"----------",VLOOKUP($N35,sez!$A$2:$C$258,2))</f>
        <v>Solfronk Adam</v>
      </c>
      <c r="P35" s="122" t="str">
        <f>IF($N35=0,"",VLOOKUP($N35,sez!$A$2:$D$258,4))</f>
        <v>MS Brno</v>
      </c>
      <c r="Q35" s="122">
        <f>A34</f>
        <v>17</v>
      </c>
      <c r="R35" s="122" t="str">
        <f>IF($Q35=0,"----------",VLOOKUP($Q35,sez!$A$2:$C$258,2))</f>
        <v>Sýkora Marek</v>
      </c>
      <c r="S35" s="122" t="str">
        <f>IF($Q35=0,"",VLOOKUP($Q35,sez!$A$2:$D$258,4))</f>
        <v>STP Mikulov</v>
      </c>
      <c r="T35" s="57" t="s">
        <v>130</v>
      </c>
      <c r="U35" s="58" t="s">
        <v>134</v>
      </c>
      <c r="V35" s="58" t="s">
        <v>137</v>
      </c>
      <c r="W35" s="58" t="s">
        <v>132</v>
      </c>
      <c r="X35" s="59"/>
      <c r="Y35" s="25">
        <f t="shared" si="42"/>
        <v>3</v>
      </c>
      <c r="Z35" s="25">
        <f t="shared" si="43"/>
        <v>1</v>
      </c>
      <c r="AA35" s="25">
        <f t="shared" si="44"/>
        <v>5</v>
      </c>
      <c r="AB35" s="25" t="str">
        <f>IF($AA35=0,"",VLOOKUP($AA35,sez!$A$2:$C$258,2))</f>
        <v>Solfronk Adam</v>
      </c>
      <c r="AC35" s="25" t="str">
        <f t="shared" si="45"/>
        <v>3:1 (8,7,-6,3)</v>
      </c>
      <c r="AD35" s="25" t="str">
        <f t="shared" si="46"/>
        <v>3:1 (8,7,-6,3)</v>
      </c>
      <c r="AE35" s="123">
        <f t="shared" si="47"/>
        <v>2</v>
      </c>
      <c r="AF35" s="123">
        <f t="shared" si="48"/>
        <v>1</v>
      </c>
      <c r="AH35" s="123">
        <f t="shared" si="49"/>
        <v>1</v>
      </c>
      <c r="AI35" s="123">
        <f t="shared" si="49"/>
        <v>1</v>
      </c>
      <c r="AJ35" s="123">
        <f t="shared" si="49"/>
        <v>-1</v>
      </c>
      <c r="AK35" s="123">
        <f t="shared" si="49"/>
        <v>1</v>
      </c>
      <c r="AL35" s="123">
        <f t="shared" si="49"/>
        <v>0</v>
      </c>
      <c r="AN35" s="25" t="str">
        <f>CONCATENATE(AP32,AP33,AP34,AP35,AP36,AP37,)</f>
        <v>&lt;TR&gt;&lt;TD width=250&gt;Solfronk Adam - Chloupek Tomáš&lt;TD&gt;3 : 0 (2,2,2)&lt;/TD&gt;&lt;/TR&gt;&lt;TR&gt;&lt;TD&gt;Sýkora Marek - Křepela David&lt;TD&gt;3 : 0 (5,3,9)&lt;/TD&gt;&lt;/TR&gt;&lt;TR&gt;&lt;TD&gt;Chloupek Tomáš - Křepela David&lt;TD&gt;3 : 1 (-9,9,10,5)&lt;/TD&gt;&lt;/TR&gt;&lt;TR&gt;&lt;TD&gt;Solfronk Adam - Sýkora Marek&lt;TD&gt;3 : 1 (8,7,-6,3)&lt;/TD&gt;&lt;/TR&gt;&lt;TR&gt;&lt;TD&gt;Sýkora Marek - Chloupek Tomáš&lt;TD&gt;2 : 3 (10,-14,-3,8,-12)&lt;/TD&gt;&lt;/TR&gt;&lt;TR&gt;&lt;TD&gt;Křepela David - Solfronk Adam&lt;TD&gt;0 : 3 (-4,-4,-4)&lt;/TD&gt;&lt;/TR&gt;</v>
      </c>
      <c r="AO35" s="25" t="str">
        <f>CONCATENATE("&lt;TR&gt;&lt;TD&gt;",A35,"&lt;TD width=200&gt;",B35,"&lt;TD&gt;",C35,"&lt;TD&gt;",D35,"&lt;TD&gt;",E35,"&lt;TD&gt;",F35,"&lt;TD&gt;",G35,"&lt;TD&gt;",H35,"&lt;/TD&gt;&lt;/TR&gt;")</f>
        <v>&lt;TR&gt;&lt;TD&gt;10&lt;TD width=200&gt;Křepela David (STK Zbraslavec)&lt;TD&gt;0:3&lt;TD&gt;0:3&lt;TD&gt;XXX&lt;TD&gt;1:3&lt;TD&gt;3&lt;TD&gt;4&lt;/TD&gt;&lt;/TR&gt;</v>
      </c>
      <c r="AP35" s="25" t="str">
        <f>CONCATENATE("&lt;TR&gt;&lt;TD&gt;",J35,"&lt;TD&gt;",K35,"&lt;/TD&gt;&lt;/TR&gt;")</f>
        <v>&lt;TR&gt;&lt;TD&gt;Solfronk Adam - Sýkora Marek&lt;TD&gt;3 : 1 (8,7,-6,3)&lt;/TD&gt;&lt;/TR&gt;</v>
      </c>
    </row>
    <row r="36" spans="1:42" ht="16.5" customHeight="1" thickBot="1">
      <c r="A36" s="119">
        <v>27</v>
      </c>
      <c r="B36" s="33" t="str">
        <f>IF($A36="","",CONCATENATE(VLOOKUP($A36,sez!$A$2:$B$258,2)," (",VLOOKUP($A36,sez!$A$2:$E$259,4),")"))</f>
        <v>Chloupek Tomáš (KST Kunštát)</v>
      </c>
      <c r="C36" s="37" t="str">
        <f>IF(Y32+Z32=0,"",CONCATENATE(Z32,":",Y32))</f>
        <v>0:3</v>
      </c>
      <c r="D36" s="30" t="str">
        <f>IF(Y36+Z36=0,"",CONCATENATE(Z36,":",Y36))</f>
        <v>3:2</v>
      </c>
      <c r="E36" s="30" t="str">
        <f>IF(Y34+Z34=0,"",CONCATENATE(Y34,":",Z34))</f>
        <v>3:1</v>
      </c>
      <c r="F36" s="31" t="s">
        <v>31</v>
      </c>
      <c r="G36" s="35">
        <f>IF(AF32+AE34+AF36=0,"",AF32+AE34+AF36)</f>
        <v>5</v>
      </c>
      <c r="H36" s="116">
        <v>2</v>
      </c>
      <c r="J36" s="25" t="str">
        <f t="shared" si="40"/>
        <v>Sýkora Marek - Chloupek Tomáš</v>
      </c>
      <c r="K36" s="25" t="str">
        <f t="shared" si="41"/>
        <v>2 : 3 (10,-14,-3,8,-12)</v>
      </c>
      <c r="M36" s="122" t="str">
        <f>CONCATENATE("1.st. ",úvod!$C$8," - ",M31)</f>
        <v>1.st. U13 - Skupina E</v>
      </c>
      <c r="N36" s="122">
        <f>A34</f>
        <v>17</v>
      </c>
      <c r="O36" s="122" t="str">
        <f>IF($N36=0,"----------",VLOOKUP($N36,sez!$A$2:$C$258,2))</f>
        <v>Sýkora Marek</v>
      </c>
      <c r="P36" s="122" t="str">
        <f>IF($N36=0,"",VLOOKUP($N36,sez!$A$2:$D$258,4))</f>
        <v>STP Mikulov</v>
      </c>
      <c r="Q36" s="122">
        <f>A36</f>
        <v>27</v>
      </c>
      <c r="R36" s="122" t="str">
        <f>IF($Q36=0,"----------",VLOOKUP($Q36,sez!$A$2:$C$258,2))</f>
        <v>Chloupek Tomáš</v>
      </c>
      <c r="S36" s="122" t="str">
        <f>IF($Q36=0,"",VLOOKUP($Q36,sez!$A$2:$D$258,4))</f>
        <v>KST Kunštát</v>
      </c>
      <c r="T36" s="57" t="s">
        <v>122</v>
      </c>
      <c r="U36" s="58" t="s">
        <v>138</v>
      </c>
      <c r="V36" s="58" t="s">
        <v>125</v>
      </c>
      <c r="W36" s="58" t="s">
        <v>130</v>
      </c>
      <c r="X36" s="59" t="s">
        <v>127</v>
      </c>
      <c r="Y36" s="25">
        <f t="shared" si="42"/>
        <v>2</v>
      </c>
      <c r="Z36" s="25">
        <f t="shared" si="43"/>
        <v>3</v>
      </c>
      <c r="AA36" s="25">
        <f t="shared" si="44"/>
        <v>27</v>
      </c>
      <c r="AB36" s="25" t="str">
        <f>IF($AA36=0,"",VLOOKUP($AA36,sez!$A$2:$C$258,2))</f>
        <v>Chloupek Tomáš</v>
      </c>
      <c r="AC36" s="25" t="str">
        <f t="shared" si="45"/>
        <v>3:2 (-10,14,3,-8,12)</v>
      </c>
      <c r="AD36" s="25" t="str">
        <f t="shared" si="46"/>
        <v>3:2 (-10,14,3,-8,12)</v>
      </c>
      <c r="AE36" s="123">
        <f t="shared" si="47"/>
        <v>1</v>
      </c>
      <c r="AF36" s="123">
        <f t="shared" si="48"/>
        <v>2</v>
      </c>
      <c r="AH36" s="123">
        <f t="shared" si="49"/>
        <v>1</v>
      </c>
      <c r="AI36" s="123">
        <f t="shared" si="49"/>
        <v>-1</v>
      </c>
      <c r="AJ36" s="123">
        <f t="shared" si="49"/>
        <v>-1</v>
      </c>
      <c r="AK36" s="123">
        <f t="shared" si="49"/>
        <v>1</v>
      </c>
      <c r="AL36" s="123">
        <f t="shared" si="49"/>
        <v>-1</v>
      </c>
      <c r="AN36" s="25" t="str">
        <f>CONCATENATE("&lt;/Table&gt;&lt;/TD&gt;&lt;/TR&gt;&lt;/Table&gt;&lt;P&gt;")</f>
        <v>&lt;/Table&gt;&lt;/TD&gt;&lt;/TR&gt;&lt;/Table&gt;&lt;P&gt;</v>
      </c>
      <c r="AO36" s="25" t="str">
        <f>CONCATENATE("&lt;TR&gt;&lt;TD&gt;",A36,"&lt;TD width=200&gt;",B36,"&lt;TD&gt;",C36,"&lt;TD&gt;",D36,"&lt;TD&gt;",E36,"&lt;TD&gt;",F36,"&lt;TD&gt;",G36,"&lt;TD&gt;",H36,"&lt;/TD&gt;&lt;/TR&gt;")</f>
        <v>&lt;TR&gt;&lt;TD&gt;27&lt;TD width=200&gt;Chloupek Tomáš (KST Kunštát)&lt;TD&gt;0:3&lt;TD&gt;3:2&lt;TD&gt;3:1&lt;TD&gt;XXX&lt;TD&gt;5&lt;TD&gt;2&lt;/TD&gt;&lt;/TR&gt;</v>
      </c>
      <c r="AP36" s="25" t="str">
        <f>CONCATENATE("&lt;TR&gt;&lt;TD&gt;",J36,"&lt;TD&gt;",K36,"&lt;/TD&gt;&lt;/TR&gt;")</f>
        <v>&lt;TR&gt;&lt;TD&gt;Sýkora Marek - Chloupek Tomáš&lt;TD&gt;2 : 3 (10,-14,-3,8,-12)&lt;/TD&gt;&lt;/TR&gt;</v>
      </c>
    </row>
    <row r="37" spans="10:42" ht="16.5" customHeight="1" thickBot="1" thickTop="1">
      <c r="J37" s="25" t="str">
        <f t="shared" si="40"/>
        <v>Křepela David - Solfronk Adam</v>
      </c>
      <c r="K37" s="25" t="str">
        <f t="shared" si="41"/>
        <v>0 : 3 (-4,-4,-4)</v>
      </c>
      <c r="M37" s="122" t="str">
        <f>CONCATENATE("1.st. ",úvod!$C$8," - ",M31)</f>
        <v>1.st. U13 - Skupina E</v>
      </c>
      <c r="N37" s="122">
        <f>A35</f>
        <v>10</v>
      </c>
      <c r="O37" s="122" t="str">
        <f>IF($N37=0,"----------",VLOOKUP($N37,sez!$A$2:$C$258,2))</f>
        <v>Křepela David</v>
      </c>
      <c r="P37" s="122" t="str">
        <f>IF($N37=0,"",VLOOKUP($N37,sez!$A$2:$D$258,4))</f>
        <v>STK Zbraslavec</v>
      </c>
      <c r="Q37" s="122">
        <f>A33</f>
        <v>5</v>
      </c>
      <c r="R37" s="122" t="str">
        <f>IF($Q37=0,"----------",VLOOKUP($Q37,sez!$A$2:$C$258,2))</f>
        <v>Solfronk Adam</v>
      </c>
      <c r="S37" s="122" t="str">
        <f>IF($Q37=0,"",VLOOKUP($Q37,sez!$A$2:$D$258,4))</f>
        <v>MS Brno</v>
      </c>
      <c r="T37" s="60" t="s">
        <v>126</v>
      </c>
      <c r="U37" s="61" t="s">
        <v>126</v>
      </c>
      <c r="V37" s="61" t="s">
        <v>126</v>
      </c>
      <c r="W37" s="61"/>
      <c r="X37" s="62"/>
      <c r="Y37" s="25">
        <f t="shared" si="42"/>
        <v>0</v>
      </c>
      <c r="Z37" s="25">
        <f t="shared" si="43"/>
        <v>3</v>
      </c>
      <c r="AA37" s="25">
        <f t="shared" si="44"/>
        <v>5</v>
      </c>
      <c r="AB37" s="25" t="str">
        <f>IF($AA37=0,"",VLOOKUP($AA37,sez!$A$2:$C$258,2))</f>
        <v>Solfronk Adam</v>
      </c>
      <c r="AC37" s="25" t="str">
        <f t="shared" si="45"/>
        <v>3:0 (4,4,4)</v>
      </c>
      <c r="AD37" s="25" t="str">
        <f t="shared" si="46"/>
        <v>3:0 (4,4,4)</v>
      </c>
      <c r="AE37" s="123">
        <f t="shared" si="47"/>
        <v>1</v>
      </c>
      <c r="AF37" s="123">
        <f t="shared" si="48"/>
        <v>2</v>
      </c>
      <c r="AH37" s="123">
        <f t="shared" si="49"/>
        <v>-1</v>
      </c>
      <c r="AI37" s="123">
        <f t="shared" si="49"/>
        <v>-1</v>
      </c>
      <c r="AJ37" s="123">
        <f t="shared" si="49"/>
        <v>-1</v>
      </c>
      <c r="AK37" s="123">
        <f t="shared" si="49"/>
        <v>0</v>
      </c>
      <c r="AL37" s="123">
        <f t="shared" si="49"/>
        <v>0</v>
      </c>
      <c r="AP37" s="25" t="str">
        <f>CONCATENATE("&lt;TR&gt;&lt;TD&gt;",J37,"&lt;TD&gt;",K37,"&lt;/TD&gt;&lt;/TR&gt;")</f>
        <v>&lt;TR&gt;&lt;TD&gt;Křepela David - Solfronk Adam&lt;TD&gt;0 : 3 (-4,-4,-4)&lt;/TD&gt;&lt;/TR&gt;</v>
      </c>
    </row>
    <row r="38" spans="13:40" ht="16.5" customHeight="1" thickBot="1" thickTop="1">
      <c r="M38" s="26" t="str">
        <f>B39</f>
        <v>Skupina F</v>
      </c>
      <c r="N38" s="26" t="s">
        <v>0</v>
      </c>
      <c r="O38" s="26" t="s">
        <v>1</v>
      </c>
      <c r="P38" s="26" t="s">
        <v>2</v>
      </c>
      <c r="Q38" s="26" t="s">
        <v>0</v>
      </c>
      <c r="R38" s="26" t="s">
        <v>3</v>
      </c>
      <c r="S38" s="26" t="s">
        <v>2</v>
      </c>
      <c r="T38" s="27" t="s">
        <v>4</v>
      </c>
      <c r="U38" s="27" t="s">
        <v>5</v>
      </c>
      <c r="V38" s="27" t="s">
        <v>6</v>
      </c>
      <c r="W38" s="27" t="s">
        <v>7</v>
      </c>
      <c r="X38" s="27" t="s">
        <v>8</v>
      </c>
      <c r="Y38" s="26" t="s">
        <v>9</v>
      </c>
      <c r="Z38" s="26" t="s">
        <v>10</v>
      </c>
      <c r="AA38" s="26" t="s">
        <v>11</v>
      </c>
      <c r="AN38" s="25" t="s">
        <v>18</v>
      </c>
    </row>
    <row r="39" spans="1:42" ht="16.5" customHeight="1" thickBot="1" thickTop="1">
      <c r="A39" s="43"/>
      <c r="B39" s="44" t="s">
        <v>25</v>
      </c>
      <c r="C39" s="45">
        <v>1</v>
      </c>
      <c r="D39" s="46">
        <v>2</v>
      </c>
      <c r="E39" s="46">
        <v>3</v>
      </c>
      <c r="F39" s="47">
        <v>4</v>
      </c>
      <c r="G39" s="48" t="s">
        <v>16</v>
      </c>
      <c r="H39" s="47" t="s">
        <v>17</v>
      </c>
      <c r="J39" s="25" t="str">
        <f aca="true" t="shared" si="50" ref="J39:J44">CONCATENATE(O39," - ",R39)</f>
        <v>Koudelka David - Vlk Oliver</v>
      </c>
      <c r="K39" s="25" t="str">
        <f aca="true" t="shared" si="51" ref="K39:K44">IF(SUM(Y39:Z39)=0,AD39,CONCATENATE(Y39," : ",Z39," (",T39,",",U39,",",V39,IF(Y39+Z39&gt;3,",",""),W39,IF(Y39+Z39&gt;4,",",""),X39,")"))</f>
        <v>3 : 0 (3,1,3)</v>
      </c>
      <c r="M39" s="122" t="str">
        <f>CONCATENATE("1.st. ",úvod!$C$8," - ",M38)</f>
        <v>1.st. U13 - Skupina F</v>
      </c>
      <c r="N39" s="122">
        <f>A40</f>
        <v>6</v>
      </c>
      <c r="O39" s="122" t="str">
        <f>IF($N39=0,"----------",VLOOKUP($N39,sez!$A$2:$C$258,2))</f>
        <v>Koudelka David</v>
      </c>
      <c r="P39" s="122" t="str">
        <f>IF($N39=0,"",VLOOKUP($N39,sez!$A$2:$D$258,4))</f>
        <v>MS Brno</v>
      </c>
      <c r="Q39" s="122">
        <f>A43</f>
        <v>25</v>
      </c>
      <c r="R39" s="122" t="str">
        <f>IF($Q39=0,"----------",VLOOKUP($Q39,sez!$A$2:$C$258,2))</f>
        <v>Vlk Oliver</v>
      </c>
      <c r="S39" s="122" t="str">
        <f>IF($Q39=0,"",VLOOKUP($Q39,sez!$A$2:$D$258,4))</f>
        <v>Sokol Brno I</v>
      </c>
      <c r="T39" s="54" t="s">
        <v>132</v>
      </c>
      <c r="U39" s="55" t="s">
        <v>136</v>
      </c>
      <c r="V39" s="55" t="s">
        <v>132</v>
      </c>
      <c r="W39" s="55"/>
      <c r="X39" s="56"/>
      <c r="Y39" s="25">
        <f aca="true" t="shared" si="52" ref="Y39:Y44">COUNTIF(AH39:AL39,"&gt;0")</f>
        <v>3</v>
      </c>
      <c r="Z39" s="25">
        <f aca="true" t="shared" si="53" ref="Z39:Z44">COUNTIF(AH39:AL39,"&lt;0")</f>
        <v>0</v>
      </c>
      <c r="AA39" s="25">
        <f aca="true" t="shared" si="54" ref="AA39:AA44">IF(Y39=Z39,0,IF(Y39&gt;Z39,N39,Q39))</f>
        <v>6</v>
      </c>
      <c r="AB39" s="25" t="str">
        <f>IF($AA39=0,"",VLOOKUP($AA39,sez!$A$2:$C$258,2))</f>
        <v>Koudelka David</v>
      </c>
      <c r="AC39" s="25" t="str">
        <f aca="true" t="shared" si="55" ref="AC39:AC44">IF(Y39=Z39,"",IF(Y39&gt;Z39,CONCATENATE(Y39,":",Z39," (",T39,",",U39,",",V39,IF(SUM(Y39:Z39)&gt;3,",",""),W39,IF(SUM(Y39:Z39)&gt;4,",",""),X39,")"),CONCATENATE(Z39,":",Y39," (",-T39,",",-U39,",",-V39,IF(SUM(Y39:Z39)&gt;3,CONCATENATE(",",-W39),""),IF(SUM(Y39:Z39)&gt;4,CONCATENATE(",",-X39),""),")")))</f>
        <v>3:0 (3,1,3)</v>
      </c>
      <c r="AD39" s="25" t="str">
        <f aca="true" t="shared" si="56" ref="AD39:AD44">IF(SUM(Y39:Z39)=0,"",AC39)</f>
        <v>3:0 (3,1,3)</v>
      </c>
      <c r="AE39" s="123">
        <f aca="true" t="shared" si="57" ref="AE39:AE44">IF(T39="",0,IF(Y39&gt;Z39,2,1))</f>
        <v>2</v>
      </c>
      <c r="AF39" s="123">
        <f aca="true" t="shared" si="58" ref="AF39:AF44">IF(T39="",0,IF(Z39&gt;Y39,2,1))</f>
        <v>1</v>
      </c>
      <c r="AH39" s="123">
        <f aca="true" t="shared" si="59" ref="AH39:AL44">IF(T39="",0,IF(MID(T39,1,1)="-",-1,1))</f>
        <v>1</v>
      </c>
      <c r="AI39" s="123">
        <f t="shared" si="59"/>
        <v>1</v>
      </c>
      <c r="AJ39" s="123">
        <f t="shared" si="59"/>
        <v>1</v>
      </c>
      <c r="AK39" s="123">
        <f t="shared" si="59"/>
        <v>0</v>
      </c>
      <c r="AL39" s="123">
        <f t="shared" si="59"/>
        <v>0</v>
      </c>
      <c r="AN39" s="25" t="str">
        <f>CONCATENATE("&lt;Table border=1 cellpading=0 cellspacing=0 width=480&gt;&lt;TR&gt;&lt;TH colspan=2&gt;",B39,"&lt;TH&gt;1&lt;TH&gt;2&lt;TH&gt;3&lt;TH&gt;4&lt;TH&gt;Body&lt;TH&gt;Pořadí&lt;/TH&gt;&lt;/TR&gt;")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P39" s="25" t="str">
        <f>CONCATENATE("&lt;TR&gt;&lt;TD width=250&gt;",J39,"&lt;TD&gt;",K39,"&lt;/TD&gt;&lt;/TR&gt;")</f>
        <v>&lt;TR&gt;&lt;TD width=250&gt;Koudelka David - Vlk Oliver&lt;TD&gt;3 : 0 (3,1,3)&lt;/TD&gt;&lt;/TR&gt;</v>
      </c>
    </row>
    <row r="40" spans="1:42" ht="16.5" customHeight="1" thickTop="1">
      <c r="A40" s="117">
        <v>6</v>
      </c>
      <c r="B40" s="38" t="str">
        <f>IF($A40="","",CONCATENATE(VLOOKUP($A40,sez!$A$2:$B$258,2)," (",VLOOKUP($A40,sez!$A$2:$E$259,4),")"))</f>
        <v>Koudelka David (MS Brno)</v>
      </c>
      <c r="C40" s="39" t="s">
        <v>31</v>
      </c>
      <c r="D40" s="40" t="str">
        <f>IF(Y42+Z42=0,"",CONCATENATE(Y42,":",Z42))</f>
        <v>3:0</v>
      </c>
      <c r="E40" s="40" t="str">
        <f>IF(Y44+Z44=0,"",CONCATENATE(Z44,":",Y44))</f>
        <v>0:3</v>
      </c>
      <c r="F40" s="41" t="str">
        <f>IF(Y39+Z39=0,"",CONCATENATE(Y39,":",Z39))</f>
        <v>3:0</v>
      </c>
      <c r="G40" s="42">
        <f>IF(AE39+AE42+AF44=0,"",AE39+AE42+AF44)</f>
        <v>5</v>
      </c>
      <c r="H40" s="114">
        <v>2</v>
      </c>
      <c r="J40" s="25" t="str">
        <f t="shared" si="50"/>
        <v>Sýkora Tomáš - Macánek Martin</v>
      </c>
      <c r="K40" s="25" t="str">
        <f t="shared" si="51"/>
        <v>1 : 3 (6,-3,-6,-9)</v>
      </c>
      <c r="M40" s="122" t="str">
        <f>CONCATENATE("1.st. ",úvod!$C$8," - ",M38)</f>
        <v>1.st. U13 - Skupina F</v>
      </c>
      <c r="N40" s="122">
        <f>A41</f>
        <v>21</v>
      </c>
      <c r="O40" s="122" t="str">
        <f>IF($N40=0,"----------",VLOOKUP($N40,sez!$A$2:$C$258,2))</f>
        <v>Sýkora Tomáš</v>
      </c>
      <c r="P40" s="122" t="str">
        <f>IF($N40=0,"",VLOOKUP($N40,sez!$A$2:$D$258,4))</f>
        <v>STP Mikulov</v>
      </c>
      <c r="Q40" s="122">
        <f>A42</f>
        <v>9</v>
      </c>
      <c r="R40" s="122" t="str">
        <f>IF($Q40=0,"----------",VLOOKUP($Q40,sez!$A$2:$C$258,2))</f>
        <v>Macánek Martin</v>
      </c>
      <c r="S40" s="122" t="str">
        <f>IF($Q40=0,"",VLOOKUP($Q40,sez!$A$2:$D$258,4))</f>
        <v>SKST Hodonín</v>
      </c>
      <c r="T40" s="57" t="s">
        <v>131</v>
      </c>
      <c r="U40" s="58" t="s">
        <v>125</v>
      </c>
      <c r="V40" s="58" t="s">
        <v>137</v>
      </c>
      <c r="W40" s="58" t="s">
        <v>120</v>
      </c>
      <c r="X40" s="59"/>
      <c r="Y40" s="25">
        <f t="shared" si="52"/>
        <v>1</v>
      </c>
      <c r="Z40" s="25">
        <f t="shared" si="53"/>
        <v>3</v>
      </c>
      <c r="AA40" s="25">
        <f t="shared" si="54"/>
        <v>9</v>
      </c>
      <c r="AB40" s="25" t="str">
        <f>IF($AA40=0,"",VLOOKUP($AA40,sez!$A$2:$C$258,2))</f>
        <v>Macánek Martin</v>
      </c>
      <c r="AC40" s="25" t="str">
        <f t="shared" si="55"/>
        <v>3:1 (-6,3,6,9)</v>
      </c>
      <c r="AD40" s="25" t="str">
        <f t="shared" si="56"/>
        <v>3:1 (-6,3,6,9)</v>
      </c>
      <c r="AE40" s="123">
        <f t="shared" si="57"/>
        <v>1</v>
      </c>
      <c r="AF40" s="123">
        <f t="shared" si="58"/>
        <v>2</v>
      </c>
      <c r="AH40" s="123">
        <f t="shared" si="59"/>
        <v>1</v>
      </c>
      <c r="AI40" s="123">
        <f t="shared" si="59"/>
        <v>-1</v>
      </c>
      <c r="AJ40" s="123">
        <f t="shared" si="59"/>
        <v>-1</v>
      </c>
      <c r="AK40" s="123">
        <f t="shared" si="59"/>
        <v>-1</v>
      </c>
      <c r="AL40" s="123">
        <f t="shared" si="59"/>
        <v>0</v>
      </c>
      <c r="AN40" s="25" t="str">
        <f>CONCATENATE(AO40,AO41,AO42,AO43,)</f>
        <v>&lt;TR&gt;&lt;TD&gt;6&lt;TD width=200&gt;Koudelka David (MS Brno)&lt;TD&gt;XXX&lt;TD&gt;3:0&lt;TD&gt;0:3&lt;TD&gt;3:0&lt;TD&gt;5&lt;TD&gt;2&lt;/TD&gt;&lt;/TR&gt;&lt;TR&gt;&lt;TD&gt;21&lt;TD width=200&gt;Sýkora Tomáš (STP Mikulov)&lt;TD&gt;0:3&lt;TD&gt;XXX&lt;TD&gt;1:3&lt;TD&gt;3:0&lt;TD&gt;4&lt;TD&gt;3&lt;/TD&gt;&lt;/TR&gt;&lt;TR&gt;&lt;TD&gt;9&lt;TD width=200&gt;Macánek Martin (SKST Hodonín)&lt;TD&gt;3:0&lt;TD&gt;3:1&lt;TD&gt;XXX&lt;TD&gt;3:0&lt;TD&gt;6&lt;TD&gt;1&lt;/TD&gt;&lt;/TR&gt;&lt;TR&gt;&lt;TD&gt;25&lt;TD width=200&gt;Vlk Oliver (Sokol Brno I)&lt;TD&gt;0:3&lt;TD&gt;0:3&lt;TD&gt;0:3&lt;TD&gt;XXX&lt;TD&gt;3&lt;TD&gt;4&lt;/TD&gt;&lt;/TR&gt;</v>
      </c>
      <c r="AO40" s="25" t="str">
        <f>CONCATENATE("&lt;TR&gt;&lt;TD&gt;",A40,"&lt;TD width=200&gt;",B40,"&lt;TD&gt;",C40,"&lt;TD&gt;",D40,"&lt;TD&gt;",E40,"&lt;TD&gt;",F40,"&lt;TD&gt;",G40,"&lt;TD&gt;",H40,"&lt;/TD&gt;&lt;/TR&gt;")</f>
        <v>&lt;TR&gt;&lt;TD&gt;6&lt;TD width=200&gt;Koudelka David (MS Brno)&lt;TD&gt;XXX&lt;TD&gt;3:0&lt;TD&gt;0:3&lt;TD&gt;3:0&lt;TD&gt;5&lt;TD&gt;2&lt;/TD&gt;&lt;/TR&gt;</v>
      </c>
      <c r="AP40" s="25" t="str">
        <f>CONCATENATE("&lt;TR&gt;&lt;TD&gt;",J40,"&lt;TD&gt;",K40,"&lt;/TD&gt;&lt;/TR&gt;")</f>
        <v>&lt;TR&gt;&lt;TD&gt;Sýkora Tomáš - Macánek Martin&lt;TD&gt;1 : 3 (6,-3,-6,-9)&lt;/TD&gt;&lt;/TR&gt;</v>
      </c>
    </row>
    <row r="41" spans="1:42" ht="16.5" customHeight="1">
      <c r="A41" s="118">
        <v>21</v>
      </c>
      <c r="B41" s="32" t="str">
        <f>IF($A41="","",CONCATENATE(VLOOKUP($A41,sez!$A$2:$B$258,2)," (",VLOOKUP($A41,sez!$A$2:$E$259,4),")"))</f>
        <v>Sýkora Tomáš (STP Mikulov)</v>
      </c>
      <c r="C41" s="36" t="str">
        <f>IF(Y42+Z42=0,"",CONCATENATE(Z42,":",Y42))</f>
        <v>0:3</v>
      </c>
      <c r="D41" s="28" t="s">
        <v>31</v>
      </c>
      <c r="E41" s="28" t="str">
        <f>IF(Y40+Z40=0,"",CONCATENATE(Y40,":",Z40))</f>
        <v>1:3</v>
      </c>
      <c r="F41" s="29" t="str">
        <f>IF(Y43+Z43=0,"",CONCATENATE(Y43,":",Z43))</f>
        <v>3:0</v>
      </c>
      <c r="G41" s="34">
        <f>IF(AE40+AF42+AE43=0,"",AE40+AF42+AE43)</f>
        <v>4</v>
      </c>
      <c r="H41" s="115">
        <v>3</v>
      </c>
      <c r="J41" s="25" t="str">
        <f t="shared" si="50"/>
        <v>Vlk Oliver - Macánek Martin</v>
      </c>
      <c r="K41" s="25" t="str">
        <f t="shared" si="51"/>
        <v>0 : 3 (-3,-4,-3)</v>
      </c>
      <c r="M41" s="122" t="str">
        <f>CONCATENATE("1.st. ",úvod!$C$8," - ",M38)</f>
        <v>1.st. U13 - Skupina F</v>
      </c>
      <c r="N41" s="122">
        <f>A43</f>
        <v>25</v>
      </c>
      <c r="O41" s="122" t="str">
        <f>IF($N41=0,"----------",VLOOKUP($N41,sez!$A$2:$C$258,2))</f>
        <v>Vlk Oliver</v>
      </c>
      <c r="P41" s="122" t="str">
        <f>IF($N41=0,"",VLOOKUP($N41,sez!$A$2:$D$258,4))</f>
        <v>Sokol Brno I</v>
      </c>
      <c r="Q41" s="122">
        <f>A42</f>
        <v>9</v>
      </c>
      <c r="R41" s="122" t="str">
        <f>IF($Q41=0,"----------",VLOOKUP($Q41,sez!$A$2:$C$258,2))</f>
        <v>Macánek Martin</v>
      </c>
      <c r="S41" s="122" t="str">
        <f>IF($Q41=0,"",VLOOKUP($Q41,sez!$A$2:$D$258,4))</f>
        <v>SKST Hodonín</v>
      </c>
      <c r="T41" s="57" t="s">
        <v>125</v>
      </c>
      <c r="U41" s="58" t="s">
        <v>126</v>
      </c>
      <c r="V41" s="58" t="s">
        <v>125</v>
      </c>
      <c r="W41" s="58"/>
      <c r="X41" s="59"/>
      <c r="Y41" s="25">
        <f t="shared" si="52"/>
        <v>0</v>
      </c>
      <c r="Z41" s="25">
        <f t="shared" si="53"/>
        <v>3</v>
      </c>
      <c r="AA41" s="25">
        <f t="shared" si="54"/>
        <v>9</v>
      </c>
      <c r="AB41" s="25" t="str">
        <f>IF($AA41=0,"",VLOOKUP($AA41,sez!$A$2:$C$258,2))</f>
        <v>Macánek Martin</v>
      </c>
      <c r="AC41" s="25" t="str">
        <f t="shared" si="55"/>
        <v>3:0 (3,4,3)</v>
      </c>
      <c r="AD41" s="25" t="str">
        <f t="shared" si="56"/>
        <v>3:0 (3,4,3)</v>
      </c>
      <c r="AE41" s="123">
        <f t="shared" si="57"/>
        <v>1</v>
      </c>
      <c r="AF41" s="123">
        <f t="shared" si="58"/>
        <v>2</v>
      </c>
      <c r="AH41" s="123">
        <f t="shared" si="59"/>
        <v>-1</v>
      </c>
      <c r="AI41" s="123">
        <f t="shared" si="59"/>
        <v>-1</v>
      </c>
      <c r="AJ41" s="123">
        <f t="shared" si="59"/>
        <v>-1</v>
      </c>
      <c r="AK41" s="123">
        <f t="shared" si="59"/>
        <v>0</v>
      </c>
      <c r="AL41" s="123">
        <f t="shared" si="59"/>
        <v>0</v>
      </c>
      <c r="AN41" s="25" t="str">
        <f>CONCATENATE("&lt;/Table&gt;&lt;TD width=420&gt;&lt;Table&gt;")</f>
        <v>&lt;/Table&gt;&lt;TD width=420&gt;&lt;Table&gt;</v>
      </c>
      <c r="AO41" s="25" t="str">
        <f>CONCATENATE("&lt;TR&gt;&lt;TD&gt;",A41,"&lt;TD width=200&gt;",B41,"&lt;TD&gt;",C41,"&lt;TD&gt;",D41,"&lt;TD&gt;",E41,"&lt;TD&gt;",F41,"&lt;TD&gt;",G41,"&lt;TD&gt;",H41,"&lt;/TD&gt;&lt;/TR&gt;")</f>
        <v>&lt;TR&gt;&lt;TD&gt;21&lt;TD width=200&gt;Sýkora Tomáš (STP Mikulov)&lt;TD&gt;0:3&lt;TD&gt;XXX&lt;TD&gt;1:3&lt;TD&gt;3:0&lt;TD&gt;4&lt;TD&gt;3&lt;/TD&gt;&lt;/TR&gt;</v>
      </c>
      <c r="AP41" s="25" t="str">
        <f>CONCATENATE("&lt;TR&gt;&lt;TD&gt;",J41,"&lt;TD&gt;",K41,"&lt;/TD&gt;&lt;/TR&gt;")</f>
        <v>&lt;TR&gt;&lt;TD&gt;Vlk Oliver - Macánek Martin&lt;TD&gt;0 : 3 (-3,-4,-3)&lt;/TD&gt;&lt;/TR&gt;</v>
      </c>
    </row>
    <row r="42" spans="1:42" ht="16.5" customHeight="1">
      <c r="A42" s="118">
        <v>9</v>
      </c>
      <c r="B42" s="32" t="str">
        <f>IF($A42="","",CONCATENATE(VLOOKUP($A42,sez!$A$2:$B$258,2)," (",VLOOKUP($A42,sez!$A$2:$E$259,4),")"))</f>
        <v>Macánek Martin (SKST Hodonín)</v>
      </c>
      <c r="C42" s="36" t="str">
        <f>IF(Y44+Z44=0,"",CONCATENATE(Y44,":",Z44))</f>
        <v>3:0</v>
      </c>
      <c r="D42" s="28" t="str">
        <f>IF(Y40+Z40=0,"",CONCATENATE(Z40,":",Y40))</f>
        <v>3:1</v>
      </c>
      <c r="E42" s="28" t="s">
        <v>31</v>
      </c>
      <c r="F42" s="29" t="str">
        <f>IF(Y41+Z41=0,"",CONCATENATE(Z41,":",Y41))</f>
        <v>3:0</v>
      </c>
      <c r="G42" s="34">
        <f>IF(AF40+AF41+AE44=0,"",AF40+AF41+AE44)</f>
        <v>6</v>
      </c>
      <c r="H42" s="115">
        <v>1</v>
      </c>
      <c r="J42" s="25" t="str">
        <f t="shared" si="50"/>
        <v>Koudelka David - Sýkora Tomáš</v>
      </c>
      <c r="K42" s="25" t="str">
        <f t="shared" si="51"/>
        <v>3 : 0 (7,9,8)</v>
      </c>
      <c r="M42" s="122" t="str">
        <f>CONCATENATE("1.st. ",úvod!$C$8," - ",M38)</f>
        <v>1.st. U13 - Skupina F</v>
      </c>
      <c r="N42" s="122">
        <f>A40</f>
        <v>6</v>
      </c>
      <c r="O42" s="122" t="str">
        <f>IF($N42=0,"----------",VLOOKUP($N42,sez!$A$2:$C$258,2))</f>
        <v>Koudelka David</v>
      </c>
      <c r="P42" s="122" t="str">
        <f>IF($N42=0,"",VLOOKUP($N42,sez!$A$2:$D$258,4))</f>
        <v>MS Brno</v>
      </c>
      <c r="Q42" s="122">
        <f>A41</f>
        <v>21</v>
      </c>
      <c r="R42" s="122" t="str">
        <f>IF($Q42=0,"----------",VLOOKUP($Q42,sez!$A$2:$C$258,2))</f>
        <v>Sýkora Tomáš</v>
      </c>
      <c r="S42" s="122" t="str">
        <f>IF($Q42=0,"",VLOOKUP($Q42,sez!$A$2:$D$258,4))</f>
        <v>STP Mikulov</v>
      </c>
      <c r="T42" s="57" t="s">
        <v>134</v>
      </c>
      <c r="U42" s="58" t="s">
        <v>121</v>
      </c>
      <c r="V42" s="58" t="s">
        <v>130</v>
      </c>
      <c r="W42" s="58"/>
      <c r="X42" s="59"/>
      <c r="Y42" s="25">
        <f t="shared" si="52"/>
        <v>3</v>
      </c>
      <c r="Z42" s="25">
        <f t="shared" si="53"/>
        <v>0</v>
      </c>
      <c r="AA42" s="25">
        <f t="shared" si="54"/>
        <v>6</v>
      </c>
      <c r="AB42" s="25" t="str">
        <f>IF($AA42=0,"",VLOOKUP($AA42,sez!$A$2:$C$258,2))</f>
        <v>Koudelka David</v>
      </c>
      <c r="AC42" s="25" t="str">
        <f t="shared" si="55"/>
        <v>3:0 (7,9,8)</v>
      </c>
      <c r="AD42" s="25" t="str">
        <f t="shared" si="56"/>
        <v>3:0 (7,9,8)</v>
      </c>
      <c r="AE42" s="123">
        <f t="shared" si="57"/>
        <v>2</v>
      </c>
      <c r="AF42" s="123">
        <f t="shared" si="58"/>
        <v>1</v>
      </c>
      <c r="AH42" s="123">
        <f t="shared" si="59"/>
        <v>1</v>
      </c>
      <c r="AI42" s="123">
        <f t="shared" si="59"/>
        <v>1</v>
      </c>
      <c r="AJ42" s="123">
        <f t="shared" si="59"/>
        <v>1</v>
      </c>
      <c r="AK42" s="123">
        <f t="shared" si="59"/>
        <v>0</v>
      </c>
      <c r="AL42" s="123">
        <f t="shared" si="59"/>
        <v>0</v>
      </c>
      <c r="AN42" s="25" t="str">
        <f>CONCATENATE(AP39,AP40,AP41,AP42,AP43,AP44,)</f>
        <v>&lt;TR&gt;&lt;TD width=250&gt;Koudelka David - Vlk Oliver&lt;TD&gt;3 : 0 (3,1,3)&lt;/TD&gt;&lt;/TR&gt;&lt;TR&gt;&lt;TD&gt;Sýkora Tomáš - Macánek Martin&lt;TD&gt;1 : 3 (6,-3,-6,-9)&lt;/TD&gt;&lt;/TR&gt;&lt;TR&gt;&lt;TD&gt;Vlk Oliver - Macánek Martin&lt;TD&gt;0 : 3 (-3,-4,-3)&lt;/TD&gt;&lt;/TR&gt;&lt;TR&gt;&lt;TD&gt;Koudelka David - Sýkora Tomáš&lt;TD&gt;3 : 0 (7,9,8)&lt;/TD&gt;&lt;/TR&gt;&lt;TR&gt;&lt;TD&gt;Sýkora Tomáš - Vlk Oliver&lt;TD&gt;3 : 0 (9,9,4)&lt;/TD&gt;&lt;/TR&gt;&lt;TR&gt;&lt;TD&gt;Macánek Martin - Koudelka David&lt;TD&gt;3 : 0 (9,7,8)&lt;/TD&gt;&lt;/TR&gt;</v>
      </c>
      <c r="AO42" s="25" t="str">
        <f>CONCATENATE("&lt;TR&gt;&lt;TD&gt;",A42,"&lt;TD width=200&gt;",B42,"&lt;TD&gt;",C42,"&lt;TD&gt;",D42,"&lt;TD&gt;",E42,"&lt;TD&gt;",F42,"&lt;TD&gt;",G42,"&lt;TD&gt;",H42,"&lt;/TD&gt;&lt;/TR&gt;")</f>
        <v>&lt;TR&gt;&lt;TD&gt;9&lt;TD width=200&gt;Macánek Martin (SKST Hodonín)&lt;TD&gt;3:0&lt;TD&gt;3:1&lt;TD&gt;XXX&lt;TD&gt;3:0&lt;TD&gt;6&lt;TD&gt;1&lt;/TD&gt;&lt;/TR&gt;</v>
      </c>
      <c r="AP42" s="25" t="str">
        <f>CONCATENATE("&lt;TR&gt;&lt;TD&gt;",J42,"&lt;TD&gt;",K42,"&lt;/TD&gt;&lt;/TR&gt;")</f>
        <v>&lt;TR&gt;&lt;TD&gt;Koudelka David - Sýkora Tomáš&lt;TD&gt;3 : 0 (7,9,8)&lt;/TD&gt;&lt;/TR&gt;</v>
      </c>
    </row>
    <row r="43" spans="1:42" ht="16.5" customHeight="1" thickBot="1">
      <c r="A43" s="119">
        <v>25</v>
      </c>
      <c r="B43" s="33" t="str">
        <f>IF($A43="","",CONCATENATE(VLOOKUP($A43,sez!$A$2:$B$258,2)," (",VLOOKUP($A43,sez!$A$2:$E$259,4),")"))</f>
        <v>Vlk Oliver (Sokol Brno I)</v>
      </c>
      <c r="C43" s="37" t="str">
        <f>IF(Y39+Z39=0,"",CONCATENATE(Z39,":",Y39))</f>
        <v>0:3</v>
      </c>
      <c r="D43" s="30" t="str">
        <f>IF(Y43+Z43=0,"",CONCATENATE(Z43,":",Y43))</f>
        <v>0:3</v>
      </c>
      <c r="E43" s="30" t="str">
        <f>IF(Y41+Z41=0,"",CONCATENATE(Y41,":",Z41))</f>
        <v>0:3</v>
      </c>
      <c r="F43" s="31" t="s">
        <v>31</v>
      </c>
      <c r="G43" s="35">
        <f>IF(AF39+AE41+AF43=0,"",AF39+AE41+AF43)</f>
        <v>3</v>
      </c>
      <c r="H43" s="116">
        <v>4</v>
      </c>
      <c r="J43" s="25" t="str">
        <f t="shared" si="50"/>
        <v>Sýkora Tomáš - Vlk Oliver</v>
      </c>
      <c r="K43" s="25" t="str">
        <f t="shared" si="51"/>
        <v>3 : 0 (9,9,4)</v>
      </c>
      <c r="M43" s="122" t="str">
        <f>CONCATENATE("1.st. ",úvod!$C$8," - ",M38)</f>
        <v>1.st. U13 - Skupina F</v>
      </c>
      <c r="N43" s="122">
        <f>A41</f>
        <v>21</v>
      </c>
      <c r="O43" s="122" t="str">
        <f>IF($N43=0,"----------",VLOOKUP($N43,sez!$A$2:$C$258,2))</f>
        <v>Sýkora Tomáš</v>
      </c>
      <c r="P43" s="122" t="str">
        <f>IF($N43=0,"",VLOOKUP($N43,sez!$A$2:$D$258,4))</f>
        <v>STP Mikulov</v>
      </c>
      <c r="Q43" s="122">
        <f>A43</f>
        <v>25</v>
      </c>
      <c r="R43" s="122" t="str">
        <f>IF($Q43=0,"----------",VLOOKUP($Q43,sez!$A$2:$C$258,2))</f>
        <v>Vlk Oliver</v>
      </c>
      <c r="S43" s="122" t="str">
        <f>IF($Q43=0,"",VLOOKUP($Q43,sez!$A$2:$D$258,4))</f>
        <v>Sokol Brno I</v>
      </c>
      <c r="T43" s="57" t="s">
        <v>121</v>
      </c>
      <c r="U43" s="58" t="s">
        <v>121</v>
      </c>
      <c r="V43" s="58" t="s">
        <v>129</v>
      </c>
      <c r="W43" s="58"/>
      <c r="X43" s="59"/>
      <c r="Y43" s="25">
        <f t="shared" si="52"/>
        <v>3</v>
      </c>
      <c r="Z43" s="25">
        <f t="shared" si="53"/>
        <v>0</v>
      </c>
      <c r="AA43" s="25">
        <f t="shared" si="54"/>
        <v>21</v>
      </c>
      <c r="AB43" s="25" t="str">
        <f>IF($AA43=0,"",VLOOKUP($AA43,sez!$A$2:$C$258,2))</f>
        <v>Sýkora Tomáš</v>
      </c>
      <c r="AC43" s="25" t="str">
        <f t="shared" si="55"/>
        <v>3:0 (9,9,4)</v>
      </c>
      <c r="AD43" s="25" t="str">
        <f t="shared" si="56"/>
        <v>3:0 (9,9,4)</v>
      </c>
      <c r="AE43" s="123">
        <f t="shared" si="57"/>
        <v>2</v>
      </c>
      <c r="AF43" s="123">
        <f t="shared" si="58"/>
        <v>1</v>
      </c>
      <c r="AH43" s="123">
        <f t="shared" si="59"/>
        <v>1</v>
      </c>
      <c r="AI43" s="123">
        <f t="shared" si="59"/>
        <v>1</v>
      </c>
      <c r="AJ43" s="123">
        <f t="shared" si="59"/>
        <v>1</v>
      </c>
      <c r="AK43" s="123">
        <f t="shared" si="59"/>
        <v>0</v>
      </c>
      <c r="AL43" s="123">
        <f t="shared" si="59"/>
        <v>0</v>
      </c>
      <c r="AN43" s="25" t="str">
        <f>CONCATENATE("&lt;/Table&gt;&lt;/TD&gt;&lt;/TR&gt;&lt;/Table&gt;&lt;P&gt;")</f>
        <v>&lt;/Table&gt;&lt;/TD&gt;&lt;/TR&gt;&lt;/Table&gt;&lt;P&gt;</v>
      </c>
      <c r="AO43" s="25" t="str">
        <f>CONCATENATE("&lt;TR&gt;&lt;TD&gt;",A43,"&lt;TD width=200&gt;",B43,"&lt;TD&gt;",C43,"&lt;TD&gt;",D43,"&lt;TD&gt;",E43,"&lt;TD&gt;",F43,"&lt;TD&gt;",G43,"&lt;TD&gt;",H43,"&lt;/TD&gt;&lt;/TR&gt;")</f>
        <v>&lt;TR&gt;&lt;TD&gt;25&lt;TD width=200&gt;Vlk Oliver (Sokol Brno I)&lt;TD&gt;0:3&lt;TD&gt;0:3&lt;TD&gt;0:3&lt;TD&gt;XXX&lt;TD&gt;3&lt;TD&gt;4&lt;/TD&gt;&lt;/TR&gt;</v>
      </c>
      <c r="AP43" s="25" t="str">
        <f>CONCATENATE("&lt;TR&gt;&lt;TD&gt;",J43,"&lt;TD&gt;",K43,"&lt;/TD&gt;&lt;/TR&gt;")</f>
        <v>&lt;TR&gt;&lt;TD&gt;Sýkora Tomáš - Vlk Oliver&lt;TD&gt;3 : 0 (9,9,4)&lt;/TD&gt;&lt;/TR&gt;</v>
      </c>
    </row>
    <row r="44" spans="10:42" ht="16.5" customHeight="1" thickBot="1" thickTop="1">
      <c r="J44" s="25" t="str">
        <f t="shared" si="50"/>
        <v>Macánek Martin - Koudelka David</v>
      </c>
      <c r="K44" s="25" t="str">
        <f t="shared" si="51"/>
        <v>3 : 0 (9,7,8)</v>
      </c>
      <c r="M44" s="122" t="str">
        <f>CONCATENATE("1.st. ",úvod!$C$8," - ",M38)</f>
        <v>1.st. U13 - Skupina F</v>
      </c>
      <c r="N44" s="122">
        <f>A42</f>
        <v>9</v>
      </c>
      <c r="O44" s="122" t="str">
        <f>IF($N44=0,"----------",VLOOKUP($N44,sez!$A$2:$C$258,2))</f>
        <v>Macánek Martin</v>
      </c>
      <c r="P44" s="122" t="str">
        <f>IF($N44=0,"",VLOOKUP($N44,sez!$A$2:$D$258,4))</f>
        <v>SKST Hodonín</v>
      </c>
      <c r="Q44" s="122">
        <f>A40</f>
        <v>6</v>
      </c>
      <c r="R44" s="122" t="str">
        <f>IF($Q44=0,"----------",VLOOKUP($Q44,sez!$A$2:$C$258,2))</f>
        <v>Koudelka David</v>
      </c>
      <c r="S44" s="122" t="str">
        <f>IF($Q44=0,"",VLOOKUP($Q44,sez!$A$2:$D$258,4))</f>
        <v>MS Brno</v>
      </c>
      <c r="T44" s="60" t="s">
        <v>121</v>
      </c>
      <c r="U44" s="61" t="s">
        <v>134</v>
      </c>
      <c r="V44" s="61" t="s">
        <v>130</v>
      </c>
      <c r="W44" s="61"/>
      <c r="X44" s="62"/>
      <c r="Y44" s="25">
        <f t="shared" si="52"/>
        <v>3</v>
      </c>
      <c r="Z44" s="25">
        <f t="shared" si="53"/>
        <v>0</v>
      </c>
      <c r="AA44" s="25">
        <f t="shared" si="54"/>
        <v>9</v>
      </c>
      <c r="AB44" s="25" t="str">
        <f>IF($AA44=0,"",VLOOKUP($AA44,sez!$A$2:$C$258,2))</f>
        <v>Macánek Martin</v>
      </c>
      <c r="AC44" s="25" t="str">
        <f t="shared" si="55"/>
        <v>3:0 (9,7,8)</v>
      </c>
      <c r="AD44" s="25" t="str">
        <f t="shared" si="56"/>
        <v>3:0 (9,7,8)</v>
      </c>
      <c r="AE44" s="123">
        <f t="shared" si="57"/>
        <v>2</v>
      </c>
      <c r="AF44" s="123">
        <f t="shared" si="58"/>
        <v>1</v>
      </c>
      <c r="AH44" s="123">
        <f t="shared" si="59"/>
        <v>1</v>
      </c>
      <c r="AI44" s="123">
        <f t="shared" si="59"/>
        <v>1</v>
      </c>
      <c r="AJ44" s="123">
        <f t="shared" si="59"/>
        <v>1</v>
      </c>
      <c r="AK44" s="123">
        <f t="shared" si="59"/>
        <v>0</v>
      </c>
      <c r="AL44" s="123">
        <f t="shared" si="59"/>
        <v>0</v>
      </c>
      <c r="AP44" s="25" t="str">
        <f>CONCATENATE("&lt;TR&gt;&lt;TD&gt;",J44,"&lt;TD&gt;",K44,"&lt;/TD&gt;&lt;/TR&gt;")</f>
        <v>&lt;TR&gt;&lt;TD&gt;Macánek Martin - Koudelka David&lt;TD&gt;3 : 0 (9,7,8)&lt;/TD&gt;&lt;/TR&gt;</v>
      </c>
    </row>
    <row r="45" spans="13:40" ht="16.5" customHeight="1" thickBot="1" thickTop="1">
      <c r="M45" s="26" t="str">
        <f>B46</f>
        <v>Skupina G</v>
      </c>
      <c r="N45" s="26" t="s">
        <v>0</v>
      </c>
      <c r="O45" s="26" t="s">
        <v>1</v>
      </c>
      <c r="P45" s="26" t="s">
        <v>2</v>
      </c>
      <c r="Q45" s="26" t="s">
        <v>0</v>
      </c>
      <c r="R45" s="26" t="s">
        <v>3</v>
      </c>
      <c r="S45" s="26" t="s">
        <v>2</v>
      </c>
      <c r="T45" s="27" t="s">
        <v>4</v>
      </c>
      <c r="U45" s="27" t="s">
        <v>5</v>
      </c>
      <c r="V45" s="27" t="s">
        <v>6</v>
      </c>
      <c r="W45" s="27" t="s">
        <v>7</v>
      </c>
      <c r="X45" s="27" t="s">
        <v>8</v>
      </c>
      <c r="Y45" s="26" t="s">
        <v>9</v>
      </c>
      <c r="Z45" s="26" t="s">
        <v>10</v>
      </c>
      <c r="AA45" s="26" t="s">
        <v>11</v>
      </c>
      <c r="AN45" s="25" t="s">
        <v>18</v>
      </c>
    </row>
    <row r="46" spans="1:42" ht="16.5" customHeight="1" thickBot="1" thickTop="1">
      <c r="A46" s="43"/>
      <c r="B46" s="44" t="s">
        <v>26</v>
      </c>
      <c r="C46" s="45">
        <v>1</v>
      </c>
      <c r="D46" s="46">
        <v>2</v>
      </c>
      <c r="E46" s="46">
        <v>3</v>
      </c>
      <c r="F46" s="47">
        <v>4</v>
      </c>
      <c r="G46" s="48" t="s">
        <v>16</v>
      </c>
      <c r="H46" s="47" t="s">
        <v>17</v>
      </c>
      <c r="J46" s="25" t="str">
        <f aca="true" t="shared" si="60" ref="J46:J51">CONCATENATE(O46," - ",R46)</f>
        <v>Herman Jan - Topinka Vojtěch</v>
      </c>
      <c r="K46" s="25" t="str">
        <f aca="true" t="shared" si="61" ref="K46:K51">IF(SUM(Y46:Z46)=0,AD46,CONCATENATE(Y46," : ",Z46," (",T46,",",U46,",",V46,IF(Y46+Z46&gt;3,",",""),W46,IF(Y46+Z46&gt;4,",",""),X46,")"))</f>
        <v>3 : 2 (6,-6,7,-3,1)</v>
      </c>
      <c r="M46" s="122" t="str">
        <f>CONCATENATE("1.st. ",úvod!$C$8," - ",M45)</f>
        <v>1.st. U13 - Skupina G</v>
      </c>
      <c r="N46" s="122">
        <f>A47</f>
        <v>7</v>
      </c>
      <c r="O46" s="122" t="str">
        <f>IF($N46=0,"----------",VLOOKUP($N46,sez!$A$2:$C$258,2))</f>
        <v>Herman Jan</v>
      </c>
      <c r="P46" s="122" t="str">
        <f>IF($N46=0,"",VLOOKUP($N46,sez!$A$2:$D$258,4))</f>
        <v>KST FOSFA LVA</v>
      </c>
      <c r="Q46" s="122">
        <f>A50</f>
        <v>31</v>
      </c>
      <c r="R46" s="122" t="str">
        <f>IF($Q46=0,"----------",VLOOKUP($Q46,sez!$A$2:$C$258,2))</f>
        <v>Topinka Vojtěch</v>
      </c>
      <c r="S46" s="122" t="str">
        <f>IF($Q46=0,"",VLOOKUP($Q46,sez!$A$2:$D$258,4))</f>
        <v>Agrotec Hustopeče</v>
      </c>
      <c r="T46" s="54" t="s">
        <v>131</v>
      </c>
      <c r="U46" s="55" t="s">
        <v>137</v>
      </c>
      <c r="V46" s="55" t="s">
        <v>134</v>
      </c>
      <c r="W46" s="55" t="s">
        <v>125</v>
      </c>
      <c r="X46" s="56" t="s">
        <v>136</v>
      </c>
      <c r="Y46" s="25">
        <f aca="true" t="shared" si="62" ref="Y46:Y51">COUNTIF(AH46:AL46,"&gt;0")</f>
        <v>3</v>
      </c>
      <c r="Z46" s="25">
        <f aca="true" t="shared" si="63" ref="Z46:Z51">COUNTIF(AH46:AL46,"&lt;0")</f>
        <v>2</v>
      </c>
      <c r="AA46" s="25">
        <f aca="true" t="shared" si="64" ref="AA46:AA51">IF(Y46=Z46,0,IF(Y46&gt;Z46,N46,Q46))</f>
        <v>7</v>
      </c>
      <c r="AB46" s="25" t="str">
        <f>IF($AA46=0,"",VLOOKUP($AA46,sez!$A$2:$C$258,2))</f>
        <v>Herman Jan</v>
      </c>
      <c r="AC46" s="25" t="str">
        <f aca="true" t="shared" si="65" ref="AC46:AC51">IF(Y46=Z46,"",IF(Y46&gt;Z46,CONCATENATE(Y46,":",Z46," (",T46,",",U46,",",V46,IF(SUM(Y46:Z46)&gt;3,",",""),W46,IF(SUM(Y46:Z46)&gt;4,",",""),X46,")"),CONCATENATE(Z46,":",Y46," (",-T46,",",-U46,",",-V46,IF(SUM(Y46:Z46)&gt;3,CONCATENATE(",",-W46),""),IF(SUM(Y46:Z46)&gt;4,CONCATENATE(",",-X46),""),")")))</f>
        <v>3:2 (6,-6,7,-3,1)</v>
      </c>
      <c r="AD46" s="25" t="str">
        <f aca="true" t="shared" si="66" ref="AD46:AD51">IF(SUM(Y46:Z46)=0,"",AC46)</f>
        <v>3:2 (6,-6,7,-3,1)</v>
      </c>
      <c r="AE46" s="123">
        <f aca="true" t="shared" si="67" ref="AE46:AE51">IF(T46="",0,IF(Y46&gt;Z46,2,1))</f>
        <v>2</v>
      </c>
      <c r="AF46" s="123">
        <f aca="true" t="shared" si="68" ref="AF46:AF51">IF(T46="",0,IF(Z46&gt;Y46,2,1))</f>
        <v>1</v>
      </c>
      <c r="AH46" s="123">
        <f aca="true" t="shared" si="69" ref="AH46:AL51">IF(T46="",0,IF(MID(T46,1,1)="-",-1,1))</f>
        <v>1</v>
      </c>
      <c r="AI46" s="123">
        <f t="shared" si="69"/>
        <v>-1</v>
      </c>
      <c r="AJ46" s="123">
        <f t="shared" si="69"/>
        <v>1</v>
      </c>
      <c r="AK46" s="123">
        <f t="shared" si="69"/>
        <v>-1</v>
      </c>
      <c r="AL46" s="123">
        <f t="shared" si="69"/>
        <v>1</v>
      </c>
      <c r="AN46" s="25" t="str">
        <f>CONCATENATE("&lt;Table border=1 cellpading=0 cellspacing=0 width=480&gt;&lt;TR&gt;&lt;TH colspan=2&gt;",B46,"&lt;TH&gt;1&lt;TH&gt;2&lt;TH&gt;3&lt;TH&gt;4&lt;TH&gt;Body&lt;TH&gt;Pořadí&lt;/TH&gt;&lt;/TR&gt;")</f>
        <v>&lt;Table border=1 cellpading=0 cellspacing=0 width=480&gt;&lt;TR&gt;&lt;TH colspan=2&gt;Skupina G&lt;TH&gt;1&lt;TH&gt;2&lt;TH&gt;3&lt;TH&gt;4&lt;TH&gt;Body&lt;TH&gt;Pořadí&lt;/TH&gt;&lt;/TR&gt;</v>
      </c>
      <c r="AP46" s="25" t="str">
        <f>CONCATENATE("&lt;TR&gt;&lt;TD width=250&gt;",J46,"&lt;TD&gt;",K46,"&lt;/TD&gt;&lt;/TR&gt;")</f>
        <v>&lt;TR&gt;&lt;TD width=250&gt;Herman Jan - Topinka Vojtěch&lt;TD&gt;3 : 2 (6,-6,7,-3,1)&lt;/TD&gt;&lt;/TR&gt;</v>
      </c>
    </row>
    <row r="47" spans="1:42" ht="16.5" customHeight="1" thickTop="1">
      <c r="A47" s="117">
        <v>7</v>
      </c>
      <c r="B47" s="38" t="str">
        <f>IF($A47="","",CONCATENATE(VLOOKUP($A47,sez!$A$2:$B$258,2)," (",VLOOKUP($A47,sez!$A$2:$E$259,4),")"))</f>
        <v>Herman Jan (KST FOSFA LVA)</v>
      </c>
      <c r="C47" s="39" t="s">
        <v>31</v>
      </c>
      <c r="D47" s="40" t="str">
        <f>IF(Y49+Z49=0,"",CONCATENATE(Y49,":",Z49))</f>
        <v>3:0</v>
      </c>
      <c r="E47" s="40" t="str">
        <f>IF(Y51+Z51=0,"",CONCATENATE(Z51,":",Y51))</f>
        <v>3:1</v>
      </c>
      <c r="F47" s="41" t="str">
        <f>IF(Y46+Z46=0,"",CONCATENATE(Y46,":",Z46))</f>
        <v>3:2</v>
      </c>
      <c r="G47" s="42">
        <f>IF(AE46+AE49+AF51=0,"",AE46+AE49+AF51)</f>
        <v>6</v>
      </c>
      <c r="H47" s="114">
        <v>1</v>
      </c>
      <c r="J47" s="25" t="str">
        <f t="shared" si="60"/>
        <v>Králík Jakub - Strnad Mikuláš</v>
      </c>
      <c r="K47" s="25" t="str">
        <f t="shared" si="61"/>
        <v>3 : 1 (-10,6,8,5)</v>
      </c>
      <c r="M47" s="122" t="str">
        <f>CONCATENATE("1.st. ",úvod!$C$8," - ",M45)</f>
        <v>1.st. U13 - Skupina G</v>
      </c>
      <c r="N47" s="122">
        <f>A48</f>
        <v>22</v>
      </c>
      <c r="O47" s="122" t="str">
        <f>IF($N47=0,"----------",VLOOKUP($N47,sez!$A$2:$C$258,2))</f>
        <v>Králík Jakub</v>
      </c>
      <c r="P47" s="122" t="str">
        <f>IF($N47=0,"",VLOOKUP($N47,sez!$A$2:$D$258,4))</f>
        <v>MS Brno</v>
      </c>
      <c r="Q47" s="122">
        <f>A49</f>
        <v>14</v>
      </c>
      <c r="R47" s="122" t="str">
        <f>IF($Q47=0,"----------",VLOOKUP($Q47,sez!$A$2:$C$258,2))</f>
        <v>Strnad Mikuláš</v>
      </c>
      <c r="S47" s="122" t="str">
        <f>IF($Q47=0,"",VLOOKUP($Q47,sez!$A$2:$D$258,4))</f>
        <v>Sokol Brno I</v>
      </c>
      <c r="T47" s="57" t="s">
        <v>139</v>
      </c>
      <c r="U47" s="58" t="s">
        <v>131</v>
      </c>
      <c r="V47" s="58" t="s">
        <v>130</v>
      </c>
      <c r="W47" s="58" t="s">
        <v>123</v>
      </c>
      <c r="X47" s="59"/>
      <c r="Y47" s="25">
        <f t="shared" si="62"/>
        <v>3</v>
      </c>
      <c r="Z47" s="25">
        <f t="shared" si="63"/>
        <v>1</v>
      </c>
      <c r="AA47" s="25">
        <f t="shared" si="64"/>
        <v>22</v>
      </c>
      <c r="AB47" s="25" t="str">
        <f>IF($AA47=0,"",VLOOKUP($AA47,sez!$A$2:$C$258,2))</f>
        <v>Králík Jakub</v>
      </c>
      <c r="AC47" s="25" t="str">
        <f t="shared" si="65"/>
        <v>3:1 (-10,6,8,5)</v>
      </c>
      <c r="AD47" s="25" t="str">
        <f t="shared" si="66"/>
        <v>3:1 (-10,6,8,5)</v>
      </c>
      <c r="AE47" s="123">
        <f t="shared" si="67"/>
        <v>2</v>
      </c>
      <c r="AF47" s="123">
        <f t="shared" si="68"/>
        <v>1</v>
      </c>
      <c r="AH47" s="123">
        <f t="shared" si="69"/>
        <v>-1</v>
      </c>
      <c r="AI47" s="123">
        <f t="shared" si="69"/>
        <v>1</v>
      </c>
      <c r="AJ47" s="123">
        <f t="shared" si="69"/>
        <v>1</v>
      </c>
      <c r="AK47" s="123">
        <f t="shared" si="69"/>
        <v>1</v>
      </c>
      <c r="AL47" s="123">
        <f t="shared" si="69"/>
        <v>0</v>
      </c>
      <c r="AN47" s="25" t="str">
        <f>CONCATENATE(AO47,AO48,AO49,AO50,)</f>
        <v>&lt;TR&gt;&lt;TD&gt;7&lt;TD width=200&gt;Herman Jan (KST FOSFA LVA)&lt;TD&gt;XXX&lt;TD&gt;3:0&lt;TD&gt;3:1&lt;TD&gt;3:2&lt;TD&gt;6&lt;TD&gt;1&lt;/TD&gt;&lt;/TR&gt;&lt;TR&gt;&lt;TD&gt;22&lt;TD width=200&gt;Králík Jakub (MS Brno)&lt;TD&gt;0:3&lt;TD&gt;XXX&lt;TD&gt;3:1&lt;TD&gt;0:3&lt;TD&gt;4&lt;TD&gt;3&lt;/TD&gt;&lt;/TR&gt;&lt;TR&gt;&lt;TD&gt;14&lt;TD width=200&gt;Strnad Mikuláš (Sokol Brno I)&lt;TD&gt;1:3&lt;TD&gt;1:3&lt;TD&gt;XXX&lt;TD&gt;2:3&lt;TD&gt;3&lt;TD&gt;4&lt;/TD&gt;&lt;/TR&gt;&lt;TR&gt;&lt;TD&gt;31&lt;TD width=200&gt;Topinka Vojtěch (Agrotec Hustopeče)&lt;TD&gt;2:3&lt;TD&gt;3:0&lt;TD&gt;3:2&lt;TD&gt;XXX&lt;TD&gt;5&lt;TD&gt;2&lt;/TD&gt;&lt;/TR&gt;</v>
      </c>
      <c r="AO47" s="25" t="str">
        <f>CONCATENATE("&lt;TR&gt;&lt;TD&gt;",A47,"&lt;TD width=200&gt;",B47,"&lt;TD&gt;",C47,"&lt;TD&gt;",D47,"&lt;TD&gt;",E47,"&lt;TD&gt;",F47,"&lt;TD&gt;",G47,"&lt;TD&gt;",H47,"&lt;/TD&gt;&lt;/TR&gt;")</f>
        <v>&lt;TR&gt;&lt;TD&gt;7&lt;TD width=200&gt;Herman Jan (KST FOSFA LVA)&lt;TD&gt;XXX&lt;TD&gt;3:0&lt;TD&gt;3:1&lt;TD&gt;3:2&lt;TD&gt;6&lt;TD&gt;1&lt;/TD&gt;&lt;/TR&gt;</v>
      </c>
      <c r="AP47" s="25" t="str">
        <f>CONCATENATE("&lt;TR&gt;&lt;TD&gt;",J47,"&lt;TD&gt;",K47,"&lt;/TD&gt;&lt;/TR&gt;")</f>
        <v>&lt;TR&gt;&lt;TD&gt;Králík Jakub - Strnad Mikuláš&lt;TD&gt;3 : 1 (-10,6,8,5)&lt;/TD&gt;&lt;/TR&gt;</v>
      </c>
    </row>
    <row r="48" spans="1:42" ht="16.5" customHeight="1">
      <c r="A48" s="118">
        <v>22</v>
      </c>
      <c r="B48" s="32" t="str">
        <f>IF($A48="","",CONCATENATE(VLOOKUP($A48,sez!$A$2:$B$258,2)," (",VLOOKUP($A48,sez!$A$2:$E$259,4),")"))</f>
        <v>Králík Jakub (MS Brno)</v>
      </c>
      <c r="C48" s="36" t="str">
        <f>IF(Y49+Z49=0,"",CONCATENATE(Z49,":",Y49))</f>
        <v>0:3</v>
      </c>
      <c r="D48" s="28" t="s">
        <v>31</v>
      </c>
      <c r="E48" s="28" t="str">
        <f>IF(Y47+Z47=0,"",CONCATENATE(Y47,":",Z47))</f>
        <v>3:1</v>
      </c>
      <c r="F48" s="29" t="str">
        <f>IF(Y50+Z50=0,"",CONCATENATE(Y50,":",Z50))</f>
        <v>0:3</v>
      </c>
      <c r="G48" s="34">
        <f>IF(AE47+AF49+AE50=0,"",AE47+AF49+AE50)</f>
        <v>4</v>
      </c>
      <c r="H48" s="115">
        <v>3</v>
      </c>
      <c r="J48" s="25" t="str">
        <f t="shared" si="60"/>
        <v>Topinka Vojtěch - Strnad Mikuláš</v>
      </c>
      <c r="K48" s="25" t="str">
        <f t="shared" si="61"/>
        <v>3 : 2 (-7,5,9,-4,2)</v>
      </c>
      <c r="M48" s="122" t="str">
        <f>CONCATENATE("1.st. ",úvod!$C$8," - ",M45)</f>
        <v>1.st. U13 - Skupina G</v>
      </c>
      <c r="N48" s="122">
        <f>A50</f>
        <v>31</v>
      </c>
      <c r="O48" s="122" t="str">
        <f>IF($N48=0,"----------",VLOOKUP($N48,sez!$A$2:$C$258,2))</f>
        <v>Topinka Vojtěch</v>
      </c>
      <c r="P48" s="122" t="str">
        <f>IF($N48=0,"",VLOOKUP($N48,sez!$A$2:$D$258,4))</f>
        <v>Agrotec Hustopeče</v>
      </c>
      <c r="Q48" s="122">
        <f>A49</f>
        <v>14</v>
      </c>
      <c r="R48" s="122" t="str">
        <f>IF($Q48=0,"----------",VLOOKUP($Q48,sez!$A$2:$C$258,2))</f>
        <v>Strnad Mikuláš</v>
      </c>
      <c r="S48" s="122" t="str">
        <f>IF($Q48=0,"",VLOOKUP($Q48,sez!$A$2:$D$258,4))</f>
        <v>Sokol Brno I</v>
      </c>
      <c r="T48" s="57" t="s">
        <v>124</v>
      </c>
      <c r="U48" s="58" t="s">
        <v>123</v>
      </c>
      <c r="V48" s="58" t="s">
        <v>121</v>
      </c>
      <c r="W48" s="58" t="s">
        <v>126</v>
      </c>
      <c r="X48" s="59" t="s">
        <v>128</v>
      </c>
      <c r="Y48" s="25">
        <f t="shared" si="62"/>
        <v>3</v>
      </c>
      <c r="Z48" s="25">
        <f t="shared" si="63"/>
        <v>2</v>
      </c>
      <c r="AA48" s="25">
        <f t="shared" si="64"/>
        <v>31</v>
      </c>
      <c r="AB48" s="25" t="str">
        <f>IF($AA48=0,"",VLOOKUP($AA48,sez!$A$2:$C$258,2))</f>
        <v>Topinka Vojtěch</v>
      </c>
      <c r="AC48" s="25" t="str">
        <f t="shared" si="65"/>
        <v>3:2 (-7,5,9,-4,2)</v>
      </c>
      <c r="AD48" s="25" t="str">
        <f t="shared" si="66"/>
        <v>3:2 (-7,5,9,-4,2)</v>
      </c>
      <c r="AE48" s="123">
        <f t="shared" si="67"/>
        <v>2</v>
      </c>
      <c r="AF48" s="123">
        <f t="shared" si="68"/>
        <v>1</v>
      </c>
      <c r="AH48" s="123">
        <f t="shared" si="69"/>
        <v>-1</v>
      </c>
      <c r="AI48" s="123">
        <f t="shared" si="69"/>
        <v>1</v>
      </c>
      <c r="AJ48" s="123">
        <f t="shared" si="69"/>
        <v>1</v>
      </c>
      <c r="AK48" s="123">
        <f t="shared" si="69"/>
        <v>-1</v>
      </c>
      <c r="AL48" s="123">
        <f t="shared" si="69"/>
        <v>1</v>
      </c>
      <c r="AN48" s="25" t="str">
        <f>CONCATENATE("&lt;/Table&gt;&lt;TD width=420&gt;&lt;Table&gt;")</f>
        <v>&lt;/Table&gt;&lt;TD width=420&gt;&lt;Table&gt;</v>
      </c>
      <c r="AO48" s="25" t="str">
        <f>CONCATENATE("&lt;TR&gt;&lt;TD&gt;",A48,"&lt;TD width=200&gt;",B48,"&lt;TD&gt;",C48,"&lt;TD&gt;",D48,"&lt;TD&gt;",E48,"&lt;TD&gt;",F48,"&lt;TD&gt;",G48,"&lt;TD&gt;",H48,"&lt;/TD&gt;&lt;/TR&gt;")</f>
        <v>&lt;TR&gt;&lt;TD&gt;22&lt;TD width=200&gt;Králík Jakub (MS Brno)&lt;TD&gt;0:3&lt;TD&gt;XXX&lt;TD&gt;3:1&lt;TD&gt;0:3&lt;TD&gt;4&lt;TD&gt;3&lt;/TD&gt;&lt;/TR&gt;</v>
      </c>
      <c r="AP48" s="25" t="str">
        <f>CONCATENATE("&lt;TR&gt;&lt;TD&gt;",J48,"&lt;TD&gt;",K48,"&lt;/TD&gt;&lt;/TR&gt;")</f>
        <v>&lt;TR&gt;&lt;TD&gt;Topinka Vojtěch - Strnad Mikuláš&lt;TD&gt;3 : 2 (-7,5,9,-4,2)&lt;/TD&gt;&lt;/TR&gt;</v>
      </c>
    </row>
    <row r="49" spans="1:42" ht="16.5" customHeight="1">
      <c r="A49" s="118">
        <v>14</v>
      </c>
      <c r="B49" s="32" t="str">
        <f>IF($A49="","",CONCATENATE(VLOOKUP($A49,sez!$A$2:$B$258,2)," (",VLOOKUP($A49,sez!$A$2:$E$259,4),")"))</f>
        <v>Strnad Mikuláš (Sokol Brno I)</v>
      </c>
      <c r="C49" s="36" t="str">
        <f>IF(Y51+Z51=0,"",CONCATENATE(Y51,":",Z51))</f>
        <v>1:3</v>
      </c>
      <c r="D49" s="28" t="str">
        <f>IF(Y47+Z47=0,"",CONCATENATE(Z47,":",Y47))</f>
        <v>1:3</v>
      </c>
      <c r="E49" s="28" t="s">
        <v>31</v>
      </c>
      <c r="F49" s="29" t="str">
        <f>IF(Y48+Z48=0,"",CONCATENATE(Z48,":",Y48))</f>
        <v>2:3</v>
      </c>
      <c r="G49" s="34">
        <f>IF(AF47+AF48+AE51=0,"",AF47+AF48+AE51)</f>
        <v>3</v>
      </c>
      <c r="H49" s="115">
        <v>4</v>
      </c>
      <c r="J49" s="25" t="str">
        <f t="shared" si="60"/>
        <v>Herman Jan - Králík Jakub</v>
      </c>
      <c r="K49" s="25" t="str">
        <f t="shared" si="61"/>
        <v>3 : 0 (7,6,6)</v>
      </c>
      <c r="M49" s="122" t="str">
        <f>CONCATENATE("1.st. ",úvod!$C$8," - ",M45)</f>
        <v>1.st. U13 - Skupina G</v>
      </c>
      <c r="N49" s="122">
        <f>A47</f>
        <v>7</v>
      </c>
      <c r="O49" s="122" t="str">
        <f>IF($N49=0,"----------",VLOOKUP($N49,sez!$A$2:$C$258,2))</f>
        <v>Herman Jan</v>
      </c>
      <c r="P49" s="122" t="str">
        <f>IF($N49=0,"",VLOOKUP($N49,sez!$A$2:$D$258,4))</f>
        <v>KST FOSFA LVA</v>
      </c>
      <c r="Q49" s="122">
        <f>A48</f>
        <v>22</v>
      </c>
      <c r="R49" s="122" t="str">
        <f>IF($Q49=0,"----------",VLOOKUP($Q49,sez!$A$2:$C$258,2))</f>
        <v>Králík Jakub</v>
      </c>
      <c r="S49" s="122" t="str">
        <f>IF($Q49=0,"",VLOOKUP($Q49,sez!$A$2:$D$258,4))</f>
        <v>MS Brno</v>
      </c>
      <c r="T49" s="57" t="s">
        <v>134</v>
      </c>
      <c r="U49" s="58" t="s">
        <v>131</v>
      </c>
      <c r="V49" s="58" t="s">
        <v>131</v>
      </c>
      <c r="W49" s="58"/>
      <c r="X49" s="59"/>
      <c r="Y49" s="25">
        <f t="shared" si="62"/>
        <v>3</v>
      </c>
      <c r="Z49" s="25">
        <f t="shared" si="63"/>
        <v>0</v>
      </c>
      <c r="AA49" s="25">
        <f t="shared" si="64"/>
        <v>7</v>
      </c>
      <c r="AB49" s="25" t="str">
        <f>IF($AA49=0,"",VLOOKUP($AA49,sez!$A$2:$C$258,2))</f>
        <v>Herman Jan</v>
      </c>
      <c r="AC49" s="25" t="str">
        <f t="shared" si="65"/>
        <v>3:0 (7,6,6)</v>
      </c>
      <c r="AD49" s="25" t="str">
        <f t="shared" si="66"/>
        <v>3:0 (7,6,6)</v>
      </c>
      <c r="AE49" s="123">
        <f t="shared" si="67"/>
        <v>2</v>
      </c>
      <c r="AF49" s="123">
        <f t="shared" si="68"/>
        <v>1</v>
      </c>
      <c r="AH49" s="123">
        <f t="shared" si="69"/>
        <v>1</v>
      </c>
      <c r="AI49" s="123">
        <f t="shared" si="69"/>
        <v>1</v>
      </c>
      <c r="AJ49" s="123">
        <f t="shared" si="69"/>
        <v>1</v>
      </c>
      <c r="AK49" s="123">
        <f t="shared" si="69"/>
        <v>0</v>
      </c>
      <c r="AL49" s="123">
        <f t="shared" si="69"/>
        <v>0</v>
      </c>
      <c r="AN49" s="25" t="str">
        <f>CONCATENATE(AP46,AP47,AP48,AP49,AP50,AP51,)</f>
        <v>&lt;TR&gt;&lt;TD width=250&gt;Herman Jan - Topinka Vojtěch&lt;TD&gt;3 : 2 (6,-6,7,-3,1)&lt;/TD&gt;&lt;/TR&gt;&lt;TR&gt;&lt;TD&gt;Králík Jakub - Strnad Mikuláš&lt;TD&gt;3 : 1 (-10,6,8,5)&lt;/TD&gt;&lt;/TR&gt;&lt;TR&gt;&lt;TD&gt;Topinka Vojtěch - Strnad Mikuláš&lt;TD&gt;3 : 2 (-7,5,9,-4,2)&lt;/TD&gt;&lt;/TR&gt;&lt;TR&gt;&lt;TD&gt;Herman Jan - Králík Jakub&lt;TD&gt;3 : 0 (7,6,6)&lt;/TD&gt;&lt;/TR&gt;&lt;TR&gt;&lt;TD&gt;Králík Jakub - Topinka Vojtěch&lt;TD&gt;0 : 3 (-9,-1,-6)&lt;/TD&gt;&lt;/TR&gt;&lt;TR&gt;&lt;TD&gt;Strnad Mikuláš - Herman Jan&lt;TD&gt;1 : 3 (9,-4,-8,-8)&lt;/TD&gt;&lt;/TR&gt;</v>
      </c>
      <c r="AO49" s="25" t="str">
        <f>CONCATENATE("&lt;TR&gt;&lt;TD&gt;",A49,"&lt;TD width=200&gt;",B49,"&lt;TD&gt;",C49,"&lt;TD&gt;",D49,"&lt;TD&gt;",E49,"&lt;TD&gt;",F49,"&lt;TD&gt;",G49,"&lt;TD&gt;",H49,"&lt;/TD&gt;&lt;/TR&gt;")</f>
        <v>&lt;TR&gt;&lt;TD&gt;14&lt;TD width=200&gt;Strnad Mikuláš (Sokol Brno I)&lt;TD&gt;1:3&lt;TD&gt;1:3&lt;TD&gt;XXX&lt;TD&gt;2:3&lt;TD&gt;3&lt;TD&gt;4&lt;/TD&gt;&lt;/TR&gt;</v>
      </c>
      <c r="AP49" s="25" t="str">
        <f>CONCATENATE("&lt;TR&gt;&lt;TD&gt;",J49,"&lt;TD&gt;",K49,"&lt;/TD&gt;&lt;/TR&gt;")</f>
        <v>&lt;TR&gt;&lt;TD&gt;Herman Jan - Králík Jakub&lt;TD&gt;3 : 0 (7,6,6)&lt;/TD&gt;&lt;/TR&gt;</v>
      </c>
    </row>
    <row r="50" spans="1:42" ht="16.5" customHeight="1" thickBot="1">
      <c r="A50" s="119">
        <v>31</v>
      </c>
      <c r="B50" s="33" t="str">
        <f>IF($A50="","",CONCATENATE(VLOOKUP($A50,sez!$A$2:$B$258,2)," (",VLOOKUP($A50,sez!$A$2:$E$259,4),")"))</f>
        <v>Topinka Vojtěch (Agrotec Hustopeče)</v>
      </c>
      <c r="C50" s="37" t="str">
        <f>IF(Y46+Z46=0,"",CONCATENATE(Z46,":",Y46))</f>
        <v>2:3</v>
      </c>
      <c r="D50" s="30" t="str">
        <f>IF(Y50+Z50=0,"",CONCATENATE(Z50,":",Y50))</f>
        <v>3:0</v>
      </c>
      <c r="E50" s="30" t="str">
        <f>IF(Y48+Z48=0,"",CONCATENATE(Y48,":",Z48))</f>
        <v>3:2</v>
      </c>
      <c r="F50" s="31" t="s">
        <v>31</v>
      </c>
      <c r="G50" s="35">
        <f>IF(AF46+AE48+AF50=0,"",AF46+AE48+AF50)</f>
        <v>5</v>
      </c>
      <c r="H50" s="116">
        <v>2</v>
      </c>
      <c r="J50" s="25" t="str">
        <f t="shared" si="60"/>
        <v>Králík Jakub - Topinka Vojtěch</v>
      </c>
      <c r="K50" s="25" t="str">
        <f t="shared" si="61"/>
        <v>0 : 3 (-9,-1,-6)</v>
      </c>
      <c r="M50" s="122" t="str">
        <f>CONCATENATE("1.st. ",úvod!$C$8," - ",M45)</f>
        <v>1.st. U13 - Skupina G</v>
      </c>
      <c r="N50" s="122">
        <f>A48</f>
        <v>22</v>
      </c>
      <c r="O50" s="122" t="str">
        <f>IF($N50=0,"----------",VLOOKUP($N50,sez!$A$2:$C$258,2))</f>
        <v>Králík Jakub</v>
      </c>
      <c r="P50" s="122" t="str">
        <f>IF($N50=0,"",VLOOKUP($N50,sez!$A$2:$D$258,4))</f>
        <v>MS Brno</v>
      </c>
      <c r="Q50" s="122">
        <f>A50</f>
        <v>31</v>
      </c>
      <c r="R50" s="122" t="str">
        <f>IF($Q50=0,"----------",VLOOKUP($Q50,sez!$A$2:$C$258,2))</f>
        <v>Topinka Vojtěch</v>
      </c>
      <c r="S50" s="122" t="str">
        <f>IF($Q50=0,"",VLOOKUP($Q50,sez!$A$2:$D$258,4))</f>
        <v>Agrotec Hustopeče</v>
      </c>
      <c r="T50" s="57" t="s">
        <v>120</v>
      </c>
      <c r="U50" s="58" t="s">
        <v>142</v>
      </c>
      <c r="V50" s="58" t="s">
        <v>137</v>
      </c>
      <c r="W50" s="58"/>
      <c r="X50" s="59"/>
      <c r="Y50" s="25">
        <f t="shared" si="62"/>
        <v>0</v>
      </c>
      <c r="Z50" s="25">
        <f t="shared" si="63"/>
        <v>3</v>
      </c>
      <c r="AA50" s="25">
        <f t="shared" si="64"/>
        <v>31</v>
      </c>
      <c r="AB50" s="25" t="str">
        <f>IF($AA50=0,"",VLOOKUP($AA50,sez!$A$2:$C$258,2))</f>
        <v>Topinka Vojtěch</v>
      </c>
      <c r="AC50" s="25" t="str">
        <f t="shared" si="65"/>
        <v>3:0 (9,1,6)</v>
      </c>
      <c r="AD50" s="25" t="str">
        <f t="shared" si="66"/>
        <v>3:0 (9,1,6)</v>
      </c>
      <c r="AE50" s="123">
        <f t="shared" si="67"/>
        <v>1</v>
      </c>
      <c r="AF50" s="123">
        <f t="shared" si="68"/>
        <v>2</v>
      </c>
      <c r="AH50" s="123">
        <f t="shared" si="69"/>
        <v>-1</v>
      </c>
      <c r="AI50" s="123">
        <f t="shared" si="69"/>
        <v>-1</v>
      </c>
      <c r="AJ50" s="123">
        <f t="shared" si="69"/>
        <v>-1</v>
      </c>
      <c r="AK50" s="123">
        <f t="shared" si="69"/>
        <v>0</v>
      </c>
      <c r="AL50" s="123">
        <f t="shared" si="69"/>
        <v>0</v>
      </c>
      <c r="AN50" s="25" t="str">
        <f>CONCATENATE("&lt;/Table&gt;&lt;/TD&gt;&lt;/TR&gt;&lt;/Table&gt;&lt;P&gt;")</f>
        <v>&lt;/Table&gt;&lt;/TD&gt;&lt;/TR&gt;&lt;/Table&gt;&lt;P&gt;</v>
      </c>
      <c r="AO50" s="25" t="str">
        <f>CONCATENATE("&lt;TR&gt;&lt;TD&gt;",A50,"&lt;TD width=200&gt;",B50,"&lt;TD&gt;",C50,"&lt;TD&gt;",D50,"&lt;TD&gt;",E50,"&lt;TD&gt;",F50,"&lt;TD&gt;",G50,"&lt;TD&gt;",H50,"&lt;/TD&gt;&lt;/TR&gt;")</f>
        <v>&lt;TR&gt;&lt;TD&gt;31&lt;TD width=200&gt;Topinka Vojtěch (Agrotec Hustopeče)&lt;TD&gt;2:3&lt;TD&gt;3:0&lt;TD&gt;3:2&lt;TD&gt;XXX&lt;TD&gt;5&lt;TD&gt;2&lt;/TD&gt;&lt;/TR&gt;</v>
      </c>
      <c r="AP50" s="25" t="str">
        <f>CONCATENATE("&lt;TR&gt;&lt;TD&gt;",J50,"&lt;TD&gt;",K50,"&lt;/TD&gt;&lt;/TR&gt;")</f>
        <v>&lt;TR&gt;&lt;TD&gt;Králík Jakub - Topinka Vojtěch&lt;TD&gt;0 : 3 (-9,-1,-6)&lt;/TD&gt;&lt;/TR&gt;</v>
      </c>
    </row>
    <row r="51" spans="10:42" ht="16.5" customHeight="1" thickBot="1" thickTop="1">
      <c r="J51" s="25" t="str">
        <f t="shared" si="60"/>
        <v>Strnad Mikuláš - Herman Jan</v>
      </c>
      <c r="K51" s="25" t="str">
        <f t="shared" si="61"/>
        <v>1 : 3 (9,-4,-8,-8)</v>
      </c>
      <c r="M51" s="122" t="str">
        <f>CONCATENATE("1.st. ",úvod!$C$8," - ",M45)</f>
        <v>1.st. U13 - Skupina G</v>
      </c>
      <c r="N51" s="122">
        <f>A49</f>
        <v>14</v>
      </c>
      <c r="O51" s="122" t="str">
        <f>IF($N51=0,"----------",VLOOKUP($N51,sez!$A$2:$C$258,2))</f>
        <v>Strnad Mikuláš</v>
      </c>
      <c r="P51" s="122" t="str">
        <f>IF($N51=0,"",VLOOKUP($N51,sez!$A$2:$D$258,4))</f>
        <v>Sokol Brno I</v>
      </c>
      <c r="Q51" s="122">
        <f>A47</f>
        <v>7</v>
      </c>
      <c r="R51" s="122" t="str">
        <f>IF($Q51=0,"----------",VLOOKUP($Q51,sez!$A$2:$C$258,2))</f>
        <v>Herman Jan</v>
      </c>
      <c r="S51" s="122" t="str">
        <f>IF($Q51=0,"",VLOOKUP($Q51,sez!$A$2:$D$258,4))</f>
        <v>KST FOSFA LVA</v>
      </c>
      <c r="T51" s="60" t="s">
        <v>121</v>
      </c>
      <c r="U51" s="61" t="s">
        <v>126</v>
      </c>
      <c r="V51" s="61" t="s">
        <v>133</v>
      </c>
      <c r="W51" s="61" t="s">
        <v>133</v>
      </c>
      <c r="X51" s="62"/>
      <c r="Y51" s="25">
        <f t="shared" si="62"/>
        <v>1</v>
      </c>
      <c r="Z51" s="25">
        <f t="shared" si="63"/>
        <v>3</v>
      </c>
      <c r="AA51" s="25">
        <f t="shared" si="64"/>
        <v>7</v>
      </c>
      <c r="AB51" s="25" t="str">
        <f>IF($AA51=0,"",VLOOKUP($AA51,sez!$A$2:$C$258,2))</f>
        <v>Herman Jan</v>
      </c>
      <c r="AC51" s="25" t="str">
        <f t="shared" si="65"/>
        <v>3:1 (-9,4,8,8)</v>
      </c>
      <c r="AD51" s="25" t="str">
        <f t="shared" si="66"/>
        <v>3:1 (-9,4,8,8)</v>
      </c>
      <c r="AE51" s="123">
        <f t="shared" si="67"/>
        <v>1</v>
      </c>
      <c r="AF51" s="123">
        <f t="shared" si="68"/>
        <v>2</v>
      </c>
      <c r="AH51" s="123">
        <f t="shared" si="69"/>
        <v>1</v>
      </c>
      <c r="AI51" s="123">
        <f t="shared" si="69"/>
        <v>-1</v>
      </c>
      <c r="AJ51" s="123">
        <f t="shared" si="69"/>
        <v>-1</v>
      </c>
      <c r="AK51" s="123">
        <f t="shared" si="69"/>
        <v>-1</v>
      </c>
      <c r="AL51" s="123">
        <f t="shared" si="69"/>
        <v>0</v>
      </c>
      <c r="AP51" s="25" t="str">
        <f>CONCATENATE("&lt;TR&gt;&lt;TD&gt;",J51,"&lt;TD&gt;",K51,"&lt;/TD&gt;&lt;/TR&gt;")</f>
        <v>&lt;TR&gt;&lt;TD&gt;Strnad Mikuláš - Herman Jan&lt;TD&gt;1 : 3 (9,-4,-8,-8)&lt;/TD&gt;&lt;/TR&gt;</v>
      </c>
    </row>
    <row r="52" spans="13:40" ht="16.5" customHeight="1" thickBot="1" thickTop="1">
      <c r="M52" s="26" t="str">
        <f>B53</f>
        <v>Skupina H</v>
      </c>
      <c r="N52" s="26" t="s">
        <v>0</v>
      </c>
      <c r="O52" s="26" t="s">
        <v>1</v>
      </c>
      <c r="P52" s="26" t="s">
        <v>2</v>
      </c>
      <c r="Q52" s="26" t="s">
        <v>0</v>
      </c>
      <c r="R52" s="26" t="s">
        <v>3</v>
      </c>
      <c r="S52" s="26" t="s">
        <v>2</v>
      </c>
      <c r="T52" s="27" t="s">
        <v>4</v>
      </c>
      <c r="U52" s="27" t="s">
        <v>5</v>
      </c>
      <c r="V52" s="27" t="s">
        <v>6</v>
      </c>
      <c r="W52" s="27" t="s">
        <v>7</v>
      </c>
      <c r="X52" s="27" t="s">
        <v>8</v>
      </c>
      <c r="Y52" s="26" t="s">
        <v>9</v>
      </c>
      <c r="Z52" s="26" t="s">
        <v>10</v>
      </c>
      <c r="AA52" s="26" t="s">
        <v>11</v>
      </c>
      <c r="AN52" s="25" t="s">
        <v>18</v>
      </c>
    </row>
    <row r="53" spans="1:42" ht="16.5" customHeight="1" thickBot="1" thickTop="1">
      <c r="A53" s="43"/>
      <c r="B53" s="44" t="s">
        <v>27</v>
      </c>
      <c r="C53" s="45">
        <v>1</v>
      </c>
      <c r="D53" s="46">
        <v>2</v>
      </c>
      <c r="E53" s="46">
        <v>3</v>
      </c>
      <c r="F53" s="47">
        <v>4</v>
      </c>
      <c r="G53" s="48" t="s">
        <v>16</v>
      </c>
      <c r="H53" s="47" t="s">
        <v>17</v>
      </c>
      <c r="J53" s="25" t="str">
        <f aca="true" t="shared" si="70" ref="J53:J58">CONCATENATE(O53," - ",R53)</f>
        <v>Dvorský Vojtěch - Nevěčný Milan</v>
      </c>
      <c r="K53" s="25" t="str">
        <f aca="true" t="shared" si="71" ref="K53:K58">IF(SUM(Y53:Z53)=0,AD53,CONCATENATE(Y53," : ",Z53," (",T53,",",U53,",",V53,IF(Y53+Z53&gt;3,",",""),W53,IF(Y53+Z53&gt;4,",",""),X53,")"))</f>
        <v>3 : 0 (1,8,7)</v>
      </c>
      <c r="M53" s="122" t="str">
        <f>CONCATENATE("1.st. ",úvod!$C$8," - ",M52)</f>
        <v>1.st. U13 - Skupina H</v>
      </c>
      <c r="N53" s="122">
        <f>A54</f>
        <v>8</v>
      </c>
      <c r="O53" s="122" t="str">
        <f>IF($N53=0,"----------",VLOOKUP($N53,sez!$A$2:$C$258,2))</f>
        <v>Dvorský Vojtěch</v>
      </c>
      <c r="P53" s="122" t="str">
        <f>IF($N53=0,"",VLOOKUP($N53,sez!$A$2:$D$258,4))</f>
        <v>MS Brno</v>
      </c>
      <c r="Q53" s="122">
        <f>A57</f>
        <v>29</v>
      </c>
      <c r="R53" s="122" t="str">
        <f>IF($Q53=0,"----------",VLOOKUP($Q53,sez!$A$2:$C$258,2))</f>
        <v>Nevěčný Milan</v>
      </c>
      <c r="S53" s="122" t="str">
        <f>IF($Q53=0,"",VLOOKUP($Q53,sez!$A$2:$D$258,4))</f>
        <v>Sokol Znojmo-Orel Únanov</v>
      </c>
      <c r="T53" s="54" t="s">
        <v>136</v>
      </c>
      <c r="U53" s="55" t="s">
        <v>130</v>
      </c>
      <c r="V53" s="55" t="s">
        <v>134</v>
      </c>
      <c r="W53" s="55"/>
      <c r="X53" s="56"/>
      <c r="Y53" s="25">
        <f aca="true" t="shared" si="72" ref="Y53:Y58">COUNTIF(AH53:AL53,"&gt;0")</f>
        <v>3</v>
      </c>
      <c r="Z53" s="25">
        <f aca="true" t="shared" si="73" ref="Z53:Z58">COUNTIF(AH53:AL53,"&lt;0")</f>
        <v>0</v>
      </c>
      <c r="AA53" s="25">
        <f aca="true" t="shared" si="74" ref="AA53:AA58">IF(Y53=Z53,0,IF(Y53&gt;Z53,N53,Q53))</f>
        <v>8</v>
      </c>
      <c r="AB53" s="25" t="str">
        <f>IF($AA53=0,"",VLOOKUP($AA53,sez!$A$2:$C$258,2))</f>
        <v>Dvorský Vojtěch</v>
      </c>
      <c r="AC53" s="25" t="str">
        <f aca="true" t="shared" si="75" ref="AC53:AC58">IF(Y53=Z53,"",IF(Y53&gt;Z53,CONCATENATE(Y53,":",Z53," (",T53,",",U53,",",V53,IF(SUM(Y53:Z53)&gt;3,",",""),W53,IF(SUM(Y53:Z53)&gt;4,",",""),X53,")"),CONCATENATE(Z53,":",Y53," (",-T53,",",-U53,",",-V53,IF(SUM(Y53:Z53)&gt;3,CONCATENATE(",",-W53),""),IF(SUM(Y53:Z53)&gt;4,CONCATENATE(",",-X53),""),")")))</f>
        <v>3:0 (1,8,7)</v>
      </c>
      <c r="AD53" s="25" t="str">
        <f aca="true" t="shared" si="76" ref="AD53:AD58">IF(SUM(Y53:Z53)=0,"",AC53)</f>
        <v>3:0 (1,8,7)</v>
      </c>
      <c r="AE53" s="123">
        <f aca="true" t="shared" si="77" ref="AE53:AE58">IF(T53="",0,IF(Y53&gt;Z53,2,1))</f>
        <v>2</v>
      </c>
      <c r="AF53" s="123">
        <f aca="true" t="shared" si="78" ref="AF53:AF58">IF(T53="",0,IF(Z53&gt;Y53,2,1))</f>
        <v>1</v>
      </c>
      <c r="AH53" s="123">
        <f aca="true" t="shared" si="79" ref="AH53:AL58">IF(T53="",0,IF(MID(T53,1,1)="-",-1,1))</f>
        <v>1</v>
      </c>
      <c r="AI53" s="123">
        <f t="shared" si="79"/>
        <v>1</v>
      </c>
      <c r="AJ53" s="123">
        <f t="shared" si="79"/>
        <v>1</v>
      </c>
      <c r="AK53" s="123">
        <f t="shared" si="79"/>
        <v>0</v>
      </c>
      <c r="AL53" s="123">
        <f t="shared" si="79"/>
        <v>0</v>
      </c>
      <c r="AN53" s="25" t="str">
        <f>CONCATENATE("&lt;Table border=1 cellpading=0 cellspacing=0 width=480&gt;&lt;TR&gt;&lt;TH colspan=2&gt;",B53,"&lt;TH&gt;1&lt;TH&gt;2&lt;TH&gt;3&lt;TH&gt;4&lt;TH&gt;Body&lt;TH&gt;Pořadí&lt;/TH&gt;&lt;/TR&gt;")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53" s="25" t="str">
        <f>CONCATENATE("&lt;TR&gt;&lt;TD width=250&gt;",J53,"&lt;TD&gt;",K53,"&lt;/TD&gt;&lt;/TR&gt;")</f>
        <v>&lt;TR&gt;&lt;TD width=250&gt;Dvorský Vojtěch - Nevěčný Milan&lt;TD&gt;3 : 0 (1,8,7)&lt;/TD&gt;&lt;/TR&gt;</v>
      </c>
    </row>
    <row r="54" spans="1:42" ht="16.5" customHeight="1" thickTop="1">
      <c r="A54" s="117">
        <v>8</v>
      </c>
      <c r="B54" s="38" t="str">
        <f>IF($A54="","",CONCATENATE(VLOOKUP($A54,sez!$A$2:$B$258,2)," (",VLOOKUP($A54,sez!$A$2:$E$259,4),")"))</f>
        <v>Dvorský Vojtěch (MS Brno)</v>
      </c>
      <c r="C54" s="39" t="s">
        <v>31</v>
      </c>
      <c r="D54" s="40" t="str">
        <f>IF(Y56+Z56=0,"",CONCATENATE(Y56,":",Z56))</f>
        <v>3:1</v>
      </c>
      <c r="E54" s="40" t="str">
        <f>IF(Y58+Z58=0,"",CONCATENATE(Z58,":",Y58))</f>
        <v>3:0</v>
      </c>
      <c r="F54" s="41" t="str">
        <f>IF(Y53+Z53=0,"",CONCATENATE(Y53,":",Z53))</f>
        <v>3:0</v>
      </c>
      <c r="G54" s="42">
        <f>IF(AE53+AE56+AF58=0,"",AE53+AE56+AF58)</f>
        <v>6</v>
      </c>
      <c r="H54" s="114">
        <v>1</v>
      </c>
      <c r="J54" s="25" t="str">
        <f t="shared" si="70"/>
        <v>Sedláček Matěj - Jež Vítek</v>
      </c>
      <c r="K54" s="25" t="str">
        <f t="shared" si="71"/>
        <v>2 : 3 (-8,8,-6,8,-6)</v>
      </c>
      <c r="M54" s="122" t="str">
        <f>CONCATENATE("1.st. ",úvod!$C$8," - ",M52)</f>
        <v>1.st. U13 - Skupina H</v>
      </c>
      <c r="N54" s="122">
        <f>A55</f>
        <v>20</v>
      </c>
      <c r="O54" s="122" t="str">
        <f>IF($N54=0,"----------",VLOOKUP($N54,sez!$A$2:$C$258,2))</f>
        <v>Sedláček Matěj</v>
      </c>
      <c r="P54" s="122" t="str">
        <f>IF($N54=0,"",VLOOKUP($N54,sez!$A$2:$D$258,4))</f>
        <v>Agrotec Hustopeče</v>
      </c>
      <c r="Q54" s="122">
        <f>A56</f>
        <v>12</v>
      </c>
      <c r="R54" s="122" t="str">
        <f>IF($Q54=0,"----------",VLOOKUP($Q54,sez!$A$2:$C$258,2))</f>
        <v>Jež Vítek</v>
      </c>
      <c r="S54" s="122" t="str">
        <f>IF($Q54=0,"",VLOOKUP($Q54,sez!$A$2:$D$258,4))</f>
        <v>STP Mikulov</v>
      </c>
      <c r="T54" s="57" t="s">
        <v>133</v>
      </c>
      <c r="U54" s="58" t="s">
        <v>130</v>
      </c>
      <c r="V54" s="58" t="s">
        <v>137</v>
      </c>
      <c r="W54" s="58" t="s">
        <v>130</v>
      </c>
      <c r="X54" s="59" t="s">
        <v>137</v>
      </c>
      <c r="Y54" s="25">
        <f t="shared" si="72"/>
        <v>2</v>
      </c>
      <c r="Z54" s="25">
        <f t="shared" si="73"/>
        <v>3</v>
      </c>
      <c r="AA54" s="25">
        <f t="shared" si="74"/>
        <v>12</v>
      </c>
      <c r="AB54" s="25" t="str">
        <f>IF($AA54=0,"",VLOOKUP($AA54,sez!$A$2:$C$258,2))</f>
        <v>Jež Vítek</v>
      </c>
      <c r="AC54" s="25" t="str">
        <f t="shared" si="75"/>
        <v>3:2 (8,-8,6,-8,6)</v>
      </c>
      <c r="AD54" s="25" t="str">
        <f t="shared" si="76"/>
        <v>3:2 (8,-8,6,-8,6)</v>
      </c>
      <c r="AE54" s="123">
        <f t="shared" si="77"/>
        <v>1</v>
      </c>
      <c r="AF54" s="123">
        <f t="shared" si="78"/>
        <v>2</v>
      </c>
      <c r="AH54" s="123">
        <f t="shared" si="79"/>
        <v>-1</v>
      </c>
      <c r="AI54" s="123">
        <f t="shared" si="79"/>
        <v>1</v>
      </c>
      <c r="AJ54" s="123">
        <f t="shared" si="79"/>
        <v>-1</v>
      </c>
      <c r="AK54" s="123">
        <f t="shared" si="79"/>
        <v>1</v>
      </c>
      <c r="AL54" s="123">
        <f t="shared" si="79"/>
        <v>-1</v>
      </c>
      <c r="AN54" s="25" t="str">
        <f>CONCATENATE(AO54,AO55,AO56,AO57,)</f>
        <v>&lt;TR&gt;&lt;TD&gt;8&lt;TD width=200&gt;Dvorský Vojtěch (MS Brno)&lt;TD&gt;XXX&lt;TD&gt;3:1&lt;TD&gt;3:0&lt;TD&gt;3:0&lt;TD&gt;6&lt;TD&gt;1&lt;/TD&gt;&lt;/TR&gt;&lt;TR&gt;&lt;TD&gt;20&lt;TD width=200&gt;Sedláček Matěj (Agrotec Hustopeče)&lt;TD&gt;1:3&lt;TD&gt;XXX&lt;TD&gt;2:3&lt;TD&gt;3:1&lt;TD&gt;4&lt;TD&gt;3&lt;/TD&gt;&lt;/TR&gt;&lt;TR&gt;&lt;TD&gt;12&lt;TD width=200&gt;Jež Vítek (STP Mikulov)&lt;TD&gt;0:3&lt;TD&gt;3:2&lt;TD&gt;XXX&lt;TD&gt;3:1&lt;TD&gt;5&lt;TD&gt;2&lt;/TD&gt;&lt;/TR&gt;&lt;TR&gt;&lt;TD&gt;29&lt;TD width=200&gt;Nevěčný Milan (Sokol Znojmo-Orel Únanov)&lt;TD&gt;0:3&lt;TD&gt;1:3&lt;TD&gt;1:3&lt;TD&gt;XXX&lt;TD&gt;3&lt;TD&gt;4&lt;/TD&gt;&lt;/TR&gt;</v>
      </c>
      <c r="AO54" s="25" t="str">
        <f>CONCATENATE("&lt;TR&gt;&lt;TD&gt;",A54,"&lt;TD width=200&gt;",B54,"&lt;TD&gt;",C54,"&lt;TD&gt;",D54,"&lt;TD&gt;",E54,"&lt;TD&gt;",F54,"&lt;TD&gt;",G54,"&lt;TD&gt;",H54,"&lt;/TD&gt;&lt;/TR&gt;")</f>
        <v>&lt;TR&gt;&lt;TD&gt;8&lt;TD width=200&gt;Dvorský Vojtěch (MS Brno)&lt;TD&gt;XXX&lt;TD&gt;3:1&lt;TD&gt;3:0&lt;TD&gt;3:0&lt;TD&gt;6&lt;TD&gt;1&lt;/TD&gt;&lt;/TR&gt;</v>
      </c>
      <c r="AP54" s="25" t="str">
        <f>CONCATENATE("&lt;TR&gt;&lt;TD&gt;",J54,"&lt;TD&gt;",K54,"&lt;/TD&gt;&lt;/TR&gt;")</f>
        <v>&lt;TR&gt;&lt;TD&gt;Sedláček Matěj - Jež Vítek&lt;TD&gt;2 : 3 (-8,8,-6,8,-6)&lt;/TD&gt;&lt;/TR&gt;</v>
      </c>
    </row>
    <row r="55" spans="1:42" ht="16.5" customHeight="1">
      <c r="A55" s="118">
        <v>20</v>
      </c>
      <c r="B55" s="32" t="str">
        <f>IF($A55="","",CONCATENATE(VLOOKUP($A55,sez!$A$2:$B$258,2)," (",VLOOKUP($A55,sez!$A$2:$E$259,4),")"))</f>
        <v>Sedláček Matěj (Agrotec Hustopeče)</v>
      </c>
      <c r="C55" s="36" t="str">
        <f>IF(Y56+Z56=0,"",CONCATENATE(Z56,":",Y56))</f>
        <v>1:3</v>
      </c>
      <c r="D55" s="28" t="s">
        <v>31</v>
      </c>
      <c r="E55" s="28" t="str">
        <f>IF(Y54+Z54=0,"",CONCATENATE(Y54,":",Z54))</f>
        <v>2:3</v>
      </c>
      <c r="F55" s="29" t="str">
        <f>IF(Y57+Z57=0,"",CONCATENATE(Y57,":",Z57))</f>
        <v>3:1</v>
      </c>
      <c r="G55" s="34">
        <f>IF(AE54+AF56+AE57=0,"",AE54+AF56+AE57)</f>
        <v>4</v>
      </c>
      <c r="H55" s="115">
        <v>3</v>
      </c>
      <c r="J55" s="25" t="str">
        <f t="shared" si="70"/>
        <v>Nevěčný Milan - Jež Vítek</v>
      </c>
      <c r="K55" s="25" t="str">
        <f t="shared" si="71"/>
        <v>1 : 3 (-5,5,-7,-3)</v>
      </c>
      <c r="M55" s="122" t="str">
        <f>CONCATENATE("1.st. ",úvod!$C$8," - ",M52)</f>
        <v>1.st. U13 - Skupina H</v>
      </c>
      <c r="N55" s="122">
        <f>A57</f>
        <v>29</v>
      </c>
      <c r="O55" s="122" t="str">
        <f>IF($N55=0,"----------",VLOOKUP($N55,sez!$A$2:$C$258,2))</f>
        <v>Nevěčný Milan</v>
      </c>
      <c r="P55" s="122" t="str">
        <f>IF($N55=0,"",VLOOKUP($N55,sez!$A$2:$D$258,4))</f>
        <v>Sokol Znojmo-Orel Únanov</v>
      </c>
      <c r="Q55" s="122">
        <f>A56</f>
        <v>12</v>
      </c>
      <c r="R55" s="122" t="str">
        <f>IF($Q55=0,"----------",VLOOKUP($Q55,sez!$A$2:$C$258,2))</f>
        <v>Jež Vítek</v>
      </c>
      <c r="S55" s="122" t="str">
        <f>IF($Q55=0,"",VLOOKUP($Q55,sez!$A$2:$D$258,4))</f>
        <v>STP Mikulov</v>
      </c>
      <c r="T55" s="57" t="s">
        <v>135</v>
      </c>
      <c r="U55" s="58" t="s">
        <v>123</v>
      </c>
      <c r="V55" s="58" t="s">
        <v>124</v>
      </c>
      <c r="W55" s="58" t="s">
        <v>125</v>
      </c>
      <c r="X55" s="59"/>
      <c r="Y55" s="25">
        <f t="shared" si="72"/>
        <v>1</v>
      </c>
      <c r="Z55" s="25">
        <f t="shared" si="73"/>
        <v>3</v>
      </c>
      <c r="AA55" s="25">
        <f t="shared" si="74"/>
        <v>12</v>
      </c>
      <c r="AB55" s="25" t="str">
        <f>IF($AA55=0,"",VLOOKUP($AA55,sez!$A$2:$C$258,2))</f>
        <v>Jež Vítek</v>
      </c>
      <c r="AC55" s="25" t="str">
        <f t="shared" si="75"/>
        <v>3:1 (5,-5,7,3)</v>
      </c>
      <c r="AD55" s="25" t="str">
        <f t="shared" si="76"/>
        <v>3:1 (5,-5,7,3)</v>
      </c>
      <c r="AE55" s="123">
        <f t="shared" si="77"/>
        <v>1</v>
      </c>
      <c r="AF55" s="123">
        <f t="shared" si="78"/>
        <v>2</v>
      </c>
      <c r="AH55" s="123">
        <f t="shared" si="79"/>
        <v>-1</v>
      </c>
      <c r="AI55" s="123">
        <f t="shared" si="79"/>
        <v>1</v>
      </c>
      <c r="AJ55" s="123">
        <f t="shared" si="79"/>
        <v>-1</v>
      </c>
      <c r="AK55" s="123">
        <f t="shared" si="79"/>
        <v>-1</v>
      </c>
      <c r="AL55" s="123">
        <f t="shared" si="79"/>
        <v>0</v>
      </c>
      <c r="AN55" s="25" t="str">
        <f>CONCATENATE("&lt;/Table&gt;&lt;TD width=420&gt;&lt;Table&gt;")</f>
        <v>&lt;/Table&gt;&lt;TD width=420&gt;&lt;Table&gt;</v>
      </c>
      <c r="AO55" s="25" t="str">
        <f>CONCATENATE("&lt;TR&gt;&lt;TD&gt;",A55,"&lt;TD width=200&gt;",B55,"&lt;TD&gt;",C55,"&lt;TD&gt;",D55,"&lt;TD&gt;",E55,"&lt;TD&gt;",F55,"&lt;TD&gt;",G55,"&lt;TD&gt;",H55,"&lt;/TD&gt;&lt;/TR&gt;")</f>
        <v>&lt;TR&gt;&lt;TD&gt;20&lt;TD width=200&gt;Sedláček Matěj (Agrotec Hustopeče)&lt;TD&gt;1:3&lt;TD&gt;XXX&lt;TD&gt;2:3&lt;TD&gt;3:1&lt;TD&gt;4&lt;TD&gt;3&lt;/TD&gt;&lt;/TR&gt;</v>
      </c>
      <c r="AP55" s="25" t="str">
        <f>CONCATENATE("&lt;TR&gt;&lt;TD&gt;",J55,"&lt;TD&gt;",K55,"&lt;/TD&gt;&lt;/TR&gt;")</f>
        <v>&lt;TR&gt;&lt;TD&gt;Nevěčný Milan - Jež Vítek&lt;TD&gt;1 : 3 (-5,5,-7,-3)&lt;/TD&gt;&lt;/TR&gt;</v>
      </c>
    </row>
    <row r="56" spans="1:42" ht="16.5" customHeight="1">
      <c r="A56" s="118">
        <v>12</v>
      </c>
      <c r="B56" s="32" t="str">
        <f>IF($A56="","",CONCATENATE(VLOOKUP($A56,sez!$A$2:$B$258,2)," (",VLOOKUP($A56,sez!$A$2:$E$259,4),")"))</f>
        <v>Jež Vítek (STP Mikulov)</v>
      </c>
      <c r="C56" s="36" t="str">
        <f>IF(Y58+Z58=0,"",CONCATENATE(Y58,":",Z58))</f>
        <v>0:3</v>
      </c>
      <c r="D56" s="28" t="str">
        <f>IF(Y54+Z54=0,"",CONCATENATE(Z54,":",Y54))</f>
        <v>3:2</v>
      </c>
      <c r="E56" s="28" t="s">
        <v>31</v>
      </c>
      <c r="F56" s="29" t="str">
        <f>IF(Y55+Z55=0,"",CONCATENATE(Z55,":",Y55))</f>
        <v>3:1</v>
      </c>
      <c r="G56" s="34">
        <f>IF(AF54+AF55+AE58=0,"",AF54+AF55+AE58)</f>
        <v>5</v>
      </c>
      <c r="H56" s="115">
        <v>2</v>
      </c>
      <c r="J56" s="25" t="str">
        <f t="shared" si="70"/>
        <v>Dvorský Vojtěch - Sedláček Matěj</v>
      </c>
      <c r="K56" s="25" t="str">
        <f t="shared" si="71"/>
        <v>3 : 1 (9,10,-8,9)</v>
      </c>
      <c r="M56" s="122" t="str">
        <f>CONCATENATE("1.st. ",úvod!$C$8," - ",M52)</f>
        <v>1.st. U13 - Skupina H</v>
      </c>
      <c r="N56" s="122">
        <f>A54</f>
        <v>8</v>
      </c>
      <c r="O56" s="122" t="str">
        <f>IF($N56=0,"----------",VLOOKUP($N56,sez!$A$2:$C$258,2))</f>
        <v>Dvorský Vojtěch</v>
      </c>
      <c r="P56" s="122" t="str">
        <f>IF($N56=0,"",VLOOKUP($N56,sez!$A$2:$D$258,4))</f>
        <v>MS Brno</v>
      </c>
      <c r="Q56" s="122">
        <f>A55</f>
        <v>20</v>
      </c>
      <c r="R56" s="122" t="str">
        <f>IF($Q56=0,"----------",VLOOKUP($Q56,sez!$A$2:$C$258,2))</f>
        <v>Sedláček Matěj</v>
      </c>
      <c r="S56" s="122" t="str">
        <f>IF($Q56=0,"",VLOOKUP($Q56,sez!$A$2:$D$258,4))</f>
        <v>Agrotec Hustopeče</v>
      </c>
      <c r="T56" s="57" t="s">
        <v>121</v>
      </c>
      <c r="U56" s="58" t="s">
        <v>122</v>
      </c>
      <c r="V56" s="58" t="s">
        <v>133</v>
      </c>
      <c r="W56" s="58" t="s">
        <v>121</v>
      </c>
      <c r="X56" s="59"/>
      <c r="Y56" s="25">
        <f t="shared" si="72"/>
        <v>3</v>
      </c>
      <c r="Z56" s="25">
        <f t="shared" si="73"/>
        <v>1</v>
      </c>
      <c r="AA56" s="25">
        <f t="shared" si="74"/>
        <v>8</v>
      </c>
      <c r="AB56" s="25" t="str">
        <f>IF($AA56=0,"",VLOOKUP($AA56,sez!$A$2:$C$258,2))</f>
        <v>Dvorský Vojtěch</v>
      </c>
      <c r="AC56" s="25" t="str">
        <f t="shared" si="75"/>
        <v>3:1 (9,10,-8,9)</v>
      </c>
      <c r="AD56" s="25" t="str">
        <f t="shared" si="76"/>
        <v>3:1 (9,10,-8,9)</v>
      </c>
      <c r="AE56" s="123">
        <f t="shared" si="77"/>
        <v>2</v>
      </c>
      <c r="AF56" s="123">
        <f t="shared" si="78"/>
        <v>1</v>
      </c>
      <c r="AH56" s="123">
        <f t="shared" si="79"/>
        <v>1</v>
      </c>
      <c r="AI56" s="123">
        <f t="shared" si="79"/>
        <v>1</v>
      </c>
      <c r="AJ56" s="123">
        <f t="shared" si="79"/>
        <v>-1</v>
      </c>
      <c r="AK56" s="123">
        <f t="shared" si="79"/>
        <v>1</v>
      </c>
      <c r="AL56" s="123">
        <f t="shared" si="79"/>
        <v>0</v>
      </c>
      <c r="AN56" s="25" t="str">
        <f>CONCATENATE(AP53,AP54,AP55,AP56,AP57,AP58,)</f>
        <v>&lt;TR&gt;&lt;TD width=250&gt;Dvorský Vojtěch - Nevěčný Milan&lt;TD&gt;3 : 0 (1,8,7)&lt;/TD&gt;&lt;/TR&gt;&lt;TR&gt;&lt;TD&gt;Sedláček Matěj - Jež Vítek&lt;TD&gt;2 : 3 (-8,8,-6,8,-6)&lt;/TD&gt;&lt;/TR&gt;&lt;TR&gt;&lt;TD&gt;Nevěčný Milan - Jež Vítek&lt;TD&gt;1 : 3 (-5,5,-7,-3)&lt;/TD&gt;&lt;/TR&gt;&lt;TR&gt;&lt;TD&gt;Dvorský Vojtěch - Sedláček Matěj&lt;TD&gt;3 : 1 (9,10,-8,9)&lt;/TD&gt;&lt;/TR&gt;&lt;TR&gt;&lt;TD&gt;Sedláček Matěj - Nevěčný Milan&lt;TD&gt;3 : 1 (5,3,-10,7)&lt;/TD&gt;&lt;/TR&gt;&lt;TR&gt;&lt;TD&gt;Jež Vítek - Dvorský Vojtěch&lt;TD&gt;0 : 3 (-9,-9,-7)&lt;/TD&gt;&lt;/TR&gt;</v>
      </c>
      <c r="AO56" s="25" t="str">
        <f>CONCATENATE("&lt;TR&gt;&lt;TD&gt;",A56,"&lt;TD width=200&gt;",B56,"&lt;TD&gt;",C56,"&lt;TD&gt;",D56,"&lt;TD&gt;",E56,"&lt;TD&gt;",F56,"&lt;TD&gt;",G56,"&lt;TD&gt;",H56,"&lt;/TD&gt;&lt;/TR&gt;")</f>
        <v>&lt;TR&gt;&lt;TD&gt;12&lt;TD width=200&gt;Jež Vítek (STP Mikulov)&lt;TD&gt;0:3&lt;TD&gt;3:2&lt;TD&gt;XXX&lt;TD&gt;3:1&lt;TD&gt;5&lt;TD&gt;2&lt;/TD&gt;&lt;/TR&gt;</v>
      </c>
      <c r="AP56" s="25" t="str">
        <f>CONCATENATE("&lt;TR&gt;&lt;TD&gt;",J56,"&lt;TD&gt;",K56,"&lt;/TD&gt;&lt;/TR&gt;")</f>
        <v>&lt;TR&gt;&lt;TD&gt;Dvorský Vojtěch - Sedláček Matěj&lt;TD&gt;3 : 1 (9,10,-8,9)&lt;/TD&gt;&lt;/TR&gt;</v>
      </c>
    </row>
    <row r="57" spans="1:42" ht="16.5" customHeight="1" thickBot="1">
      <c r="A57" s="119">
        <v>29</v>
      </c>
      <c r="B57" s="33" t="str">
        <f>IF($A57="","",CONCATENATE(VLOOKUP($A57,sez!$A$2:$B$258,2)," (",VLOOKUP($A57,sez!$A$2:$E$259,4),")"))</f>
        <v>Nevěčný Milan (Sokol Znojmo-Orel Únanov)</v>
      </c>
      <c r="C57" s="37" t="str">
        <f>IF(Y53+Z53=0,"",CONCATENATE(Z53,":",Y53))</f>
        <v>0:3</v>
      </c>
      <c r="D57" s="30" t="str">
        <f>IF(Y57+Z57=0,"",CONCATENATE(Z57,":",Y57))</f>
        <v>1:3</v>
      </c>
      <c r="E57" s="30" t="str">
        <f>IF(Y55+Z55=0,"",CONCATENATE(Y55,":",Z55))</f>
        <v>1:3</v>
      </c>
      <c r="F57" s="31" t="s">
        <v>31</v>
      </c>
      <c r="G57" s="35">
        <f>IF(AF53+AE55+AF57=0,"",AF53+AE55+AF57)</f>
        <v>3</v>
      </c>
      <c r="H57" s="116">
        <v>4</v>
      </c>
      <c r="J57" s="25" t="str">
        <f t="shared" si="70"/>
        <v>Sedláček Matěj - Nevěčný Milan</v>
      </c>
      <c r="K57" s="25" t="str">
        <f t="shared" si="71"/>
        <v>3 : 1 (5,3,-10,7)</v>
      </c>
      <c r="M57" s="122" t="str">
        <f>CONCATENATE("1.st. ",úvod!$C$8," - ",M52)</f>
        <v>1.st. U13 - Skupina H</v>
      </c>
      <c r="N57" s="122">
        <f>A55</f>
        <v>20</v>
      </c>
      <c r="O57" s="122" t="str">
        <f>IF($N57=0,"----------",VLOOKUP($N57,sez!$A$2:$C$258,2))</f>
        <v>Sedláček Matěj</v>
      </c>
      <c r="P57" s="122" t="str">
        <f>IF($N57=0,"",VLOOKUP($N57,sez!$A$2:$D$258,4))</f>
        <v>Agrotec Hustopeče</v>
      </c>
      <c r="Q57" s="122">
        <f>A57</f>
        <v>29</v>
      </c>
      <c r="R57" s="122" t="str">
        <f>IF($Q57=0,"----------",VLOOKUP($Q57,sez!$A$2:$C$258,2))</f>
        <v>Nevěčný Milan</v>
      </c>
      <c r="S57" s="122" t="str">
        <f>IF($Q57=0,"",VLOOKUP($Q57,sez!$A$2:$D$258,4))</f>
        <v>Sokol Znojmo-Orel Únanov</v>
      </c>
      <c r="T57" s="57" t="s">
        <v>123</v>
      </c>
      <c r="U57" s="58" t="s">
        <v>132</v>
      </c>
      <c r="V57" s="58" t="s">
        <v>139</v>
      </c>
      <c r="W57" s="58" t="s">
        <v>134</v>
      </c>
      <c r="X57" s="59"/>
      <c r="Y57" s="25">
        <f t="shared" si="72"/>
        <v>3</v>
      </c>
      <c r="Z57" s="25">
        <f t="shared" si="73"/>
        <v>1</v>
      </c>
      <c r="AA57" s="25">
        <f t="shared" si="74"/>
        <v>20</v>
      </c>
      <c r="AB57" s="25" t="str">
        <f>IF($AA57=0,"",VLOOKUP($AA57,sez!$A$2:$C$258,2))</f>
        <v>Sedláček Matěj</v>
      </c>
      <c r="AC57" s="25" t="str">
        <f t="shared" si="75"/>
        <v>3:1 (5,3,-10,7)</v>
      </c>
      <c r="AD57" s="25" t="str">
        <f t="shared" si="76"/>
        <v>3:1 (5,3,-10,7)</v>
      </c>
      <c r="AE57" s="123">
        <f t="shared" si="77"/>
        <v>2</v>
      </c>
      <c r="AF57" s="123">
        <f t="shared" si="78"/>
        <v>1</v>
      </c>
      <c r="AH57" s="123">
        <f t="shared" si="79"/>
        <v>1</v>
      </c>
      <c r="AI57" s="123">
        <f t="shared" si="79"/>
        <v>1</v>
      </c>
      <c r="AJ57" s="123">
        <f t="shared" si="79"/>
        <v>-1</v>
      </c>
      <c r="AK57" s="123">
        <f t="shared" si="79"/>
        <v>1</v>
      </c>
      <c r="AL57" s="123">
        <f t="shared" si="79"/>
        <v>0</v>
      </c>
      <c r="AN57" s="25" t="str">
        <f>CONCATENATE("&lt;/Table&gt;&lt;/TD&gt;&lt;/TR&gt;&lt;/Table&gt;&lt;P&gt;")</f>
        <v>&lt;/Table&gt;&lt;/TD&gt;&lt;/TR&gt;&lt;/Table&gt;&lt;P&gt;</v>
      </c>
      <c r="AO57" s="25" t="str">
        <f>CONCATENATE("&lt;TR&gt;&lt;TD&gt;",A57,"&lt;TD width=200&gt;",B57,"&lt;TD&gt;",C57,"&lt;TD&gt;",D57,"&lt;TD&gt;",E57,"&lt;TD&gt;",F57,"&lt;TD&gt;",G57,"&lt;TD&gt;",H57,"&lt;/TD&gt;&lt;/TR&gt;")</f>
        <v>&lt;TR&gt;&lt;TD&gt;29&lt;TD width=200&gt;Nevěčný Milan (Sokol Znojmo-Orel Únanov)&lt;TD&gt;0:3&lt;TD&gt;1:3&lt;TD&gt;1:3&lt;TD&gt;XXX&lt;TD&gt;3&lt;TD&gt;4&lt;/TD&gt;&lt;/TR&gt;</v>
      </c>
      <c r="AP57" s="25" t="str">
        <f>CONCATENATE("&lt;TR&gt;&lt;TD&gt;",J57,"&lt;TD&gt;",K57,"&lt;/TD&gt;&lt;/TR&gt;")</f>
        <v>&lt;TR&gt;&lt;TD&gt;Sedláček Matěj - Nevěčný Milan&lt;TD&gt;3 : 1 (5,3,-10,7)&lt;/TD&gt;&lt;/TR&gt;</v>
      </c>
    </row>
    <row r="58" spans="10:42" ht="16.5" customHeight="1" thickBot="1" thickTop="1">
      <c r="J58" s="25" t="str">
        <f t="shared" si="70"/>
        <v>Jež Vítek - Dvorský Vojtěch</v>
      </c>
      <c r="K58" s="25" t="str">
        <f t="shared" si="71"/>
        <v>0 : 3 (-9,-9,-7)</v>
      </c>
      <c r="M58" s="122" t="str">
        <f>CONCATENATE("1.st. ",úvod!$C$8," - ",M52)</f>
        <v>1.st. U13 - Skupina H</v>
      </c>
      <c r="N58" s="122">
        <f>A56</f>
        <v>12</v>
      </c>
      <c r="O58" s="122" t="str">
        <f>IF($N58=0,"----------",VLOOKUP($N58,sez!$A$2:$C$258,2))</f>
        <v>Jež Vítek</v>
      </c>
      <c r="P58" s="122" t="str">
        <f>IF($N58=0,"",VLOOKUP($N58,sez!$A$2:$D$258,4))</f>
        <v>STP Mikulov</v>
      </c>
      <c r="Q58" s="122">
        <f>A54</f>
        <v>8</v>
      </c>
      <c r="R58" s="122" t="str">
        <f>IF($Q58=0,"----------",VLOOKUP($Q58,sez!$A$2:$C$258,2))</f>
        <v>Dvorský Vojtěch</v>
      </c>
      <c r="S58" s="122" t="str">
        <f>IF($Q58=0,"",VLOOKUP($Q58,sez!$A$2:$D$258,4))</f>
        <v>MS Brno</v>
      </c>
      <c r="T58" s="60" t="s">
        <v>120</v>
      </c>
      <c r="U58" s="61" t="s">
        <v>120</v>
      </c>
      <c r="V58" s="61" t="s">
        <v>124</v>
      </c>
      <c r="W58" s="61"/>
      <c r="X58" s="62"/>
      <c r="Y58" s="25">
        <f t="shared" si="72"/>
        <v>0</v>
      </c>
      <c r="Z58" s="25">
        <f t="shared" si="73"/>
        <v>3</v>
      </c>
      <c r="AA58" s="25">
        <f t="shared" si="74"/>
        <v>8</v>
      </c>
      <c r="AB58" s="25" t="str">
        <f>IF($AA58=0,"",VLOOKUP($AA58,sez!$A$2:$C$258,2))</f>
        <v>Dvorský Vojtěch</v>
      </c>
      <c r="AC58" s="25" t="str">
        <f t="shared" si="75"/>
        <v>3:0 (9,9,7)</v>
      </c>
      <c r="AD58" s="25" t="str">
        <f t="shared" si="76"/>
        <v>3:0 (9,9,7)</v>
      </c>
      <c r="AE58" s="123">
        <f t="shared" si="77"/>
        <v>1</v>
      </c>
      <c r="AF58" s="123">
        <f t="shared" si="78"/>
        <v>2</v>
      </c>
      <c r="AH58" s="123">
        <f t="shared" si="79"/>
        <v>-1</v>
      </c>
      <c r="AI58" s="123">
        <f t="shared" si="79"/>
        <v>-1</v>
      </c>
      <c r="AJ58" s="123">
        <f t="shared" si="79"/>
        <v>-1</v>
      </c>
      <c r="AK58" s="123">
        <f t="shared" si="79"/>
        <v>0</v>
      </c>
      <c r="AL58" s="123">
        <f t="shared" si="79"/>
        <v>0</v>
      </c>
      <c r="AP58" s="25" t="str">
        <f>CONCATENATE("&lt;TR&gt;&lt;TD&gt;",J58,"&lt;TD&gt;",K58,"&lt;/TD&gt;&lt;/TR&gt;")</f>
        <v>&lt;TR&gt;&lt;TD&gt;Jež Vítek - Dvorský Vojtěch&lt;TD&gt;0 : 3 (-9,-9,-7)&lt;/TD&gt;&lt;/TR&gt;</v>
      </c>
    </row>
    <row r="59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zoomScaleSheetLayoutView="100" zoomScalePageLayoutView="0" workbookViewId="0" topLeftCell="A16">
      <selection activeCell="G32" sqref="G32"/>
    </sheetView>
  </sheetViews>
  <sheetFormatPr defaultColWidth="9.00390625" defaultRowHeight="15" customHeight="1"/>
  <cols>
    <col min="1" max="1" width="3.375" style="25" customWidth="1"/>
    <col min="2" max="2" width="31.125" style="25" bestFit="1" customWidth="1"/>
    <col min="3" max="8" width="5.00390625" style="25" customWidth="1"/>
    <col min="9" max="9" width="1.625" style="25" customWidth="1"/>
    <col min="10" max="10" width="30.875" style="25" bestFit="1" customWidth="1"/>
    <col min="11" max="11" width="30.125" style="25" customWidth="1"/>
    <col min="12" max="12" width="4.375" style="25" customWidth="1"/>
    <col min="13" max="13" width="24.125" style="25" bestFit="1" customWidth="1"/>
    <col min="14" max="14" width="5.25390625" style="25" bestFit="1" customWidth="1"/>
    <col min="15" max="15" width="14.375" style="25" bestFit="1" customWidth="1"/>
    <col min="16" max="16" width="3.75390625" style="25" customWidth="1"/>
    <col min="17" max="17" width="4.75390625" style="25" bestFit="1" customWidth="1"/>
    <col min="18" max="18" width="14.375" style="25" bestFit="1" customWidth="1"/>
    <col min="19" max="19" width="2.875" style="25" customWidth="1"/>
    <col min="20" max="24" width="5.00390625" style="25" bestFit="1" customWidth="1"/>
    <col min="25" max="26" width="5.125" style="25" customWidth="1"/>
    <col min="27" max="27" width="5.625" style="25" bestFit="1" customWidth="1"/>
    <col min="28" max="28" width="4.375" style="25" customWidth="1"/>
    <col min="29" max="29" width="8.125" style="25" bestFit="1" customWidth="1"/>
    <col min="30" max="30" width="3.375" style="123" customWidth="1"/>
    <col min="31" max="32" width="3.125" style="123" customWidth="1"/>
    <col min="33" max="33" width="1.875" style="123" customWidth="1"/>
    <col min="34" max="38" width="3.125" style="123" customWidth="1"/>
    <col min="39" max="39" width="3.00390625" style="123" customWidth="1"/>
    <col min="40" max="42" width="0" style="123" hidden="1" customWidth="1"/>
    <col min="43" max="43" width="9.125" style="123" customWidth="1"/>
    <col min="44" max="16384" width="9.125" style="25" customWidth="1"/>
  </cols>
  <sheetData>
    <row r="1" spans="1:7" ht="20.25">
      <c r="A1" s="3" t="str">
        <f>úvod!C6</f>
        <v>krajské přebory</v>
      </c>
      <c r="B1" s="2"/>
      <c r="C1" s="2"/>
      <c r="D1" s="2"/>
      <c r="E1" s="2"/>
      <c r="F1" s="2"/>
      <c r="G1" s="2"/>
    </row>
    <row r="2" spans="1:11" ht="20.25">
      <c r="A2" s="4"/>
      <c r="B2" s="2"/>
      <c r="C2" s="2"/>
      <c r="D2" s="2"/>
      <c r="E2" s="2"/>
      <c r="F2" s="2"/>
      <c r="G2" s="20"/>
      <c r="K2" s="20" t="str">
        <f>CONCATENATE("Dvouhra ",úvod!C8," Ž - 1.stupeň")</f>
        <v>Dvouhra U13 Ž - 1.stupeň</v>
      </c>
    </row>
    <row r="3" spans="1:40" ht="15" customHeight="1" thickBot="1">
      <c r="A3" s="2"/>
      <c r="B3" s="2"/>
      <c r="C3" s="4"/>
      <c r="D3" s="2"/>
      <c r="E3" s="2"/>
      <c r="F3" s="2"/>
      <c r="G3" s="15"/>
      <c r="K3" s="81"/>
      <c r="M3" s="26" t="str">
        <f>B4</f>
        <v>Skupina A</v>
      </c>
      <c r="N3" s="26" t="s">
        <v>0</v>
      </c>
      <c r="O3" s="26" t="s">
        <v>1</v>
      </c>
      <c r="P3" s="26" t="s">
        <v>2</v>
      </c>
      <c r="Q3" s="26" t="s">
        <v>0</v>
      </c>
      <c r="R3" s="26" t="s">
        <v>3</v>
      </c>
      <c r="S3" s="26" t="s">
        <v>2</v>
      </c>
      <c r="T3" s="27" t="s">
        <v>4</v>
      </c>
      <c r="U3" s="27" t="s">
        <v>5</v>
      </c>
      <c r="V3" s="27" t="s">
        <v>6</v>
      </c>
      <c r="W3" s="27" t="s">
        <v>7</v>
      </c>
      <c r="X3" s="27" t="s">
        <v>8</v>
      </c>
      <c r="Y3" s="26" t="s">
        <v>9</v>
      </c>
      <c r="Z3" s="26" t="s">
        <v>10</v>
      </c>
      <c r="AA3" s="26" t="s">
        <v>11</v>
      </c>
      <c r="AN3" s="123" t="s">
        <v>18</v>
      </c>
    </row>
    <row r="4" spans="1:42" ht="16.5" customHeight="1" thickBot="1" thickTop="1">
      <c r="A4" s="43"/>
      <c r="B4" s="44" t="s">
        <v>20</v>
      </c>
      <c r="C4" s="45">
        <v>1</v>
      </c>
      <c r="D4" s="46">
        <v>2</v>
      </c>
      <c r="E4" s="46">
        <v>3</v>
      </c>
      <c r="F4" s="47">
        <v>4</v>
      </c>
      <c r="G4" s="48" t="s">
        <v>16</v>
      </c>
      <c r="H4" s="47" t="s">
        <v>17</v>
      </c>
      <c r="J4" s="25" t="str">
        <f aca="true" t="shared" si="0" ref="J4:J9">CONCATENATE(O4," - ",R4)</f>
        <v>Cupáková Bára - Tufová Laura</v>
      </c>
      <c r="K4" s="25" t="str">
        <f aca="true" t="shared" si="1" ref="K4:K9">IF(SUM(Y4:Z4)=0,AD4,CONCATENATE(Y4," : ",Z4," (",T4,",",U4,",",V4,IF(Y4+Z4&gt;3,",",""),W4,IF(Y4+Z4&gt;4,",",""),X4,")"))</f>
        <v>3 : 0 (8,5,6)</v>
      </c>
      <c r="M4" s="122" t="str">
        <f>CONCATENATE("1.st. ",úvod!$C$8," - ",M3)</f>
        <v>1.st. U13 - Skupina A</v>
      </c>
      <c r="N4" s="122">
        <f>A5</f>
        <v>41</v>
      </c>
      <c r="O4" s="122" t="str">
        <f>IF($N4=0,"----------",VLOOKUP($N4,sez!$A$2:$C$258,2))</f>
        <v>Cupáková Bára</v>
      </c>
      <c r="P4" s="122" t="str">
        <f>IF($N4=0,"",VLOOKUP($N4,sez!$A$2:$D$258,4))</f>
        <v>KST FOSFA LVA</v>
      </c>
      <c r="Q4" s="122">
        <f>A8</f>
        <v>53</v>
      </c>
      <c r="R4" s="122" t="str">
        <f>IF($Q4=0,"----------",VLOOKUP($Q4,sez!$A$2:$C$258,2))</f>
        <v>Tufová Laura</v>
      </c>
      <c r="S4" s="122" t="str">
        <f>IF($Q4=0,"",VLOOKUP($Q4,sez!$A$2:$D$258,4))</f>
        <v>SKST Hodonín</v>
      </c>
      <c r="T4" s="54" t="s">
        <v>130</v>
      </c>
      <c r="U4" s="55" t="s">
        <v>123</v>
      </c>
      <c r="V4" s="55" t="s">
        <v>131</v>
      </c>
      <c r="W4" s="55"/>
      <c r="X4" s="56"/>
      <c r="Y4" s="25">
        <f aca="true" t="shared" si="2" ref="Y4:Y9">COUNTIF(AH4:AL4,"&gt;0")</f>
        <v>3</v>
      </c>
      <c r="Z4" s="25">
        <f aca="true" t="shared" si="3" ref="Z4:Z9">COUNTIF(AH4:AL4,"&lt;0")</f>
        <v>0</v>
      </c>
      <c r="AA4" s="25">
        <f aca="true" t="shared" si="4" ref="AA4:AA9">IF(Y4=Z4,0,IF(Y4&gt;Z4,N4,Q4))</f>
        <v>41</v>
      </c>
      <c r="AB4" s="25" t="str">
        <f>IF($AA4=0,"",VLOOKUP($AA4,sez!$A$2:$C$258,2))</f>
        <v>Cupáková Bára</v>
      </c>
      <c r="AC4" s="25" t="str">
        <f aca="true" t="shared" si="5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  <v>3:0 (8,5,6)</v>
      </c>
      <c r="AD4" s="123" t="str">
        <f aca="true" t="shared" si="6" ref="AD4:AD9">IF(SUM(Y4:Z4)=0,"",AC4)</f>
        <v>3:0 (8,5,6)</v>
      </c>
      <c r="AE4" s="123">
        <f aca="true" t="shared" si="7" ref="AE4:AE9">IF(T4="",0,IF(Y4&gt;Z4,2,1))</f>
        <v>2</v>
      </c>
      <c r="AF4" s="123">
        <f aca="true" t="shared" si="8" ref="AF4:AF9">IF(T4="",0,IF(Z4&gt;Y4,2,1))</f>
        <v>1</v>
      </c>
      <c r="AH4" s="123">
        <f aca="true" t="shared" si="9" ref="AH4:AL9">IF(T4="",0,IF(MID(T4,1,1)="-",-1,1))</f>
        <v>1</v>
      </c>
      <c r="AI4" s="123">
        <f t="shared" si="9"/>
        <v>1</v>
      </c>
      <c r="AJ4" s="123">
        <f t="shared" si="9"/>
        <v>1</v>
      </c>
      <c r="AK4" s="123">
        <f t="shared" si="9"/>
        <v>0</v>
      </c>
      <c r="AL4" s="123">
        <f t="shared" si="9"/>
        <v>0</v>
      </c>
      <c r="AN4" s="123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123" t="str">
        <f>CONCATENATE("&lt;TR&gt;&lt;TD width=250&gt;",J4,"&lt;TD&gt;",K4,"&lt;/TD&gt;&lt;/TR&gt;")</f>
        <v>&lt;TR&gt;&lt;TD width=250&gt;Cupáková Bára - Tufová Laura&lt;TD&gt;3 : 0 (8,5,6)&lt;/TD&gt;&lt;/TR&gt;</v>
      </c>
    </row>
    <row r="5" spans="1:42" ht="16.5" customHeight="1" thickTop="1">
      <c r="A5" s="117">
        <v>41</v>
      </c>
      <c r="B5" s="38" t="str">
        <f>IF($A5="","",CONCATENATE(VLOOKUP($A5,sez!$A$2:$B$258,2)," (",VLOOKUP($A5,sez!$A$2:$E$259,4),")"))</f>
        <v>Cupáková Bára (KST FOSFA LVA)</v>
      </c>
      <c r="C5" s="39" t="s">
        <v>31</v>
      </c>
      <c r="D5" s="40" t="str">
        <f>IF(Y7+Z7=0,"",CONCATENATE(Y7,":",Z7))</f>
        <v>3:0</v>
      </c>
      <c r="E5" s="40" t="str">
        <f>IF(Y9+Z9=0,"",CONCATENATE(Z9,":",Y9))</f>
        <v>3:0</v>
      </c>
      <c r="F5" s="41" t="str">
        <f>IF(Y4+Z4=0,"",CONCATENATE(Y4,":",Z4))</f>
        <v>3:0</v>
      </c>
      <c r="G5" s="42">
        <f>IF(AE4+AE7+AF9=0,"",AE4+AE7+AF9)</f>
        <v>6</v>
      </c>
      <c r="H5" s="114">
        <v>1</v>
      </c>
      <c r="J5" s="25" t="str">
        <f t="shared" si="0"/>
        <v>Bravencová Karolína - Bařinová Tereza</v>
      </c>
      <c r="K5" s="25" t="str">
        <f t="shared" si="1"/>
        <v>3 : 0 (9,6,6)</v>
      </c>
      <c r="M5" s="122" t="str">
        <f>CONCATENATE("1.st. ",úvod!$C$8," - ",M3)</f>
        <v>1.st. U13 - Skupina A</v>
      </c>
      <c r="N5" s="122">
        <f>A6</f>
        <v>49</v>
      </c>
      <c r="O5" s="122" t="str">
        <f>IF($N5=0,"----------",VLOOKUP($N5,sez!$A$2:$C$258,2))</f>
        <v>Bravencová Karolína</v>
      </c>
      <c r="P5" s="122" t="str">
        <f>IF($N5=0,"",VLOOKUP($N5,sez!$A$2:$D$258,4))</f>
        <v>Josefov</v>
      </c>
      <c r="Q5" s="122">
        <f>A7</f>
        <v>48</v>
      </c>
      <c r="R5" s="122" t="str">
        <f>IF($Q5=0,"----------",VLOOKUP($Q5,sez!$A$2:$C$258,2))</f>
        <v>Bařinová Tereza</v>
      </c>
      <c r="S5" s="122" t="str">
        <f>IF($Q5=0,"",VLOOKUP($Q5,sez!$A$2:$D$258,4))</f>
        <v>Agrotec Hustopeče</v>
      </c>
      <c r="T5" s="57" t="s">
        <v>121</v>
      </c>
      <c r="U5" s="58" t="s">
        <v>131</v>
      </c>
      <c r="V5" s="58" t="s">
        <v>131</v>
      </c>
      <c r="W5" s="58"/>
      <c r="X5" s="59"/>
      <c r="Y5" s="25">
        <f t="shared" si="2"/>
        <v>3</v>
      </c>
      <c r="Z5" s="25">
        <f t="shared" si="3"/>
        <v>0</v>
      </c>
      <c r="AA5" s="25">
        <f t="shared" si="4"/>
        <v>49</v>
      </c>
      <c r="AB5" s="25" t="str">
        <f>IF($AA5=0,"",VLOOKUP($AA5,sez!$A$2:$C$258,2))</f>
        <v>Bravencová Karolína</v>
      </c>
      <c r="AC5" s="25" t="str">
        <f t="shared" si="5"/>
        <v>3:0 (9,6,6)</v>
      </c>
      <c r="AD5" s="123" t="str">
        <f t="shared" si="6"/>
        <v>3:0 (9,6,6)</v>
      </c>
      <c r="AE5" s="123">
        <f t="shared" si="7"/>
        <v>2</v>
      </c>
      <c r="AF5" s="123">
        <f t="shared" si="8"/>
        <v>1</v>
      </c>
      <c r="AH5" s="123">
        <f t="shared" si="9"/>
        <v>1</v>
      </c>
      <c r="AI5" s="123">
        <f t="shared" si="9"/>
        <v>1</v>
      </c>
      <c r="AJ5" s="123">
        <f t="shared" si="9"/>
        <v>1</v>
      </c>
      <c r="AK5" s="123">
        <f t="shared" si="9"/>
        <v>0</v>
      </c>
      <c r="AL5" s="123">
        <f t="shared" si="9"/>
        <v>0</v>
      </c>
      <c r="AN5" s="123" t="str">
        <f>CONCATENATE(AO5,AO6,AO7,AO8,)</f>
        <v>&lt;TR&gt;&lt;TD&gt;41&lt;TD width=200&gt;Cupáková Bára (KST FOSFA LVA)&lt;TD&gt;XXX&lt;TD&gt;3:0&lt;TD&gt;3:0&lt;TD&gt;3:0&lt;TD&gt;6&lt;TD&gt;1&lt;/TD&gt;&lt;/TR&gt;&lt;TR&gt;&lt;TD&gt;49&lt;TD width=200&gt;Bravencová Karolína (Josefov)&lt;TD&gt;0:3&lt;TD&gt;XXX&lt;TD&gt;3:0&lt;TD&gt;2:3&lt;TD&gt;4&lt;TD&gt;2&lt;/TD&gt;&lt;/TR&gt;&lt;TR&gt;&lt;TD&gt;48&lt;TD width=200&gt;Bařinová Tereza (Agrotec Hustopeče)&lt;TD&gt;0:3&lt;TD&gt;0:3&lt;TD&gt;XXX&lt;TD&gt;3:0&lt;TD&gt;4&lt;TD&gt;3&lt;/TD&gt;&lt;/TR&gt;&lt;TR&gt;&lt;TD&gt;53&lt;TD width=200&gt;Tufová Laura (SKST Hodonín)&lt;TD&gt;0:3&lt;TD&gt;3:2&lt;TD&gt;0:3&lt;TD&gt;XXX&lt;TD&gt;4&lt;TD&gt;4&lt;/TD&gt;&lt;/TR&gt;</v>
      </c>
      <c r="AO5" s="123" t="str">
        <f>CONCATENATE("&lt;TR&gt;&lt;TD&gt;",A5,"&lt;TD width=200&gt;",B5,"&lt;TD&gt;",C5,"&lt;TD&gt;",D5,"&lt;TD&gt;",E5,"&lt;TD&gt;",F5,"&lt;TD&gt;",G5,"&lt;TD&gt;",H5,"&lt;/TD&gt;&lt;/TR&gt;")</f>
        <v>&lt;TR&gt;&lt;TD&gt;41&lt;TD width=200&gt;Cupáková Bára (KST FOSFA LVA)&lt;TD&gt;XXX&lt;TD&gt;3:0&lt;TD&gt;3:0&lt;TD&gt;3:0&lt;TD&gt;6&lt;TD&gt;1&lt;/TD&gt;&lt;/TR&gt;</v>
      </c>
      <c r="AP5" s="123" t="str">
        <f>CONCATENATE("&lt;TR&gt;&lt;TD&gt;",J5,"&lt;TD&gt;",K5,"&lt;/TD&gt;&lt;/TR&gt;")</f>
        <v>&lt;TR&gt;&lt;TD&gt;Bravencová Karolína - Bařinová Tereza&lt;TD&gt;3 : 0 (9,6,6)&lt;/TD&gt;&lt;/TR&gt;</v>
      </c>
    </row>
    <row r="6" spans="1:42" ht="16.5" customHeight="1">
      <c r="A6" s="118">
        <v>49</v>
      </c>
      <c r="B6" s="32" t="str">
        <f>IF($A6="","",CONCATENATE(VLOOKUP($A6,sez!$A$2:$B$258,2)," (",VLOOKUP($A6,sez!$A$2:$E$259,4),")"))</f>
        <v>Bravencová Karolína (Josefov)</v>
      </c>
      <c r="C6" s="36" t="str">
        <f>IF(Y7+Z7=0,"",CONCATENATE(Z7,":",Y7))</f>
        <v>0:3</v>
      </c>
      <c r="D6" s="28" t="s">
        <v>31</v>
      </c>
      <c r="E6" s="28" t="str">
        <f>IF(Y5+Z5=0,"",CONCATENATE(Y5,":",Z5))</f>
        <v>3:0</v>
      </c>
      <c r="F6" s="29" t="str">
        <f>IF(Y8+Z8=0,"",CONCATENATE(Y8,":",Z8))</f>
        <v>2:3</v>
      </c>
      <c r="G6" s="34">
        <f>IF(AE5+AF7+AE8=0,"",AE5+AF7+AE8)</f>
        <v>4</v>
      </c>
      <c r="H6" s="115">
        <v>2</v>
      </c>
      <c r="J6" s="25" t="str">
        <f t="shared" si="0"/>
        <v>Tufová Laura - Bařinová Tereza</v>
      </c>
      <c r="K6" s="25" t="str">
        <f t="shared" si="1"/>
        <v>0 : 3 (-8,-8,-2)</v>
      </c>
      <c r="M6" s="122" t="str">
        <f>CONCATENATE("1.st. ",úvod!$C$8," - ",M3)</f>
        <v>1.st. U13 - Skupina A</v>
      </c>
      <c r="N6" s="122">
        <f>A8</f>
        <v>53</v>
      </c>
      <c r="O6" s="122" t="str">
        <f>IF($N6=0,"----------",VLOOKUP($N6,sez!$A$2:$C$258,2))</f>
        <v>Tufová Laura</v>
      </c>
      <c r="P6" s="122" t="str">
        <f>IF($N6=0,"",VLOOKUP($N6,sez!$A$2:$D$258,4))</f>
        <v>SKST Hodonín</v>
      </c>
      <c r="Q6" s="122">
        <f>A7</f>
        <v>48</v>
      </c>
      <c r="R6" s="122" t="str">
        <f>IF($Q6=0,"----------",VLOOKUP($Q6,sez!$A$2:$C$258,2))</f>
        <v>Bařinová Tereza</v>
      </c>
      <c r="S6" s="122" t="str">
        <f>IF($Q6=0,"",VLOOKUP($Q6,sez!$A$2:$D$258,4))</f>
        <v>Agrotec Hustopeče</v>
      </c>
      <c r="T6" s="57" t="s">
        <v>133</v>
      </c>
      <c r="U6" s="58" t="s">
        <v>133</v>
      </c>
      <c r="V6" s="58" t="s">
        <v>141</v>
      </c>
      <c r="W6" s="58"/>
      <c r="X6" s="59"/>
      <c r="Y6" s="25">
        <f t="shared" si="2"/>
        <v>0</v>
      </c>
      <c r="Z6" s="25">
        <f t="shared" si="3"/>
        <v>3</v>
      </c>
      <c r="AA6" s="25">
        <f t="shared" si="4"/>
        <v>48</v>
      </c>
      <c r="AB6" s="25" t="str">
        <f>IF($AA6=0,"",VLOOKUP($AA6,sez!$A$2:$C$258,2))</f>
        <v>Bařinová Tereza</v>
      </c>
      <c r="AC6" s="25" t="str">
        <f t="shared" si="5"/>
        <v>3:0 (8,8,2)</v>
      </c>
      <c r="AD6" s="123" t="str">
        <f t="shared" si="6"/>
        <v>3:0 (8,8,2)</v>
      </c>
      <c r="AE6" s="123">
        <f t="shared" si="7"/>
        <v>1</v>
      </c>
      <c r="AF6" s="123">
        <f t="shared" si="8"/>
        <v>2</v>
      </c>
      <c r="AH6" s="123">
        <f t="shared" si="9"/>
        <v>-1</v>
      </c>
      <c r="AI6" s="123">
        <f t="shared" si="9"/>
        <v>-1</v>
      </c>
      <c r="AJ6" s="123">
        <f t="shared" si="9"/>
        <v>-1</v>
      </c>
      <c r="AK6" s="123">
        <f t="shared" si="9"/>
        <v>0</v>
      </c>
      <c r="AL6" s="123">
        <f t="shared" si="9"/>
        <v>0</v>
      </c>
      <c r="AN6" s="123" t="str">
        <f>CONCATENATE("&lt;/Table&gt;&lt;TD width=420&gt;&lt;Table&gt;")</f>
        <v>&lt;/Table&gt;&lt;TD width=420&gt;&lt;Table&gt;</v>
      </c>
      <c r="AO6" s="123" t="str">
        <f>CONCATENATE("&lt;TR&gt;&lt;TD&gt;",A6,"&lt;TD width=200&gt;",B6,"&lt;TD&gt;",C6,"&lt;TD&gt;",D6,"&lt;TD&gt;",E6,"&lt;TD&gt;",F6,"&lt;TD&gt;",G6,"&lt;TD&gt;",H6,"&lt;/TD&gt;&lt;/TR&gt;")</f>
        <v>&lt;TR&gt;&lt;TD&gt;49&lt;TD width=200&gt;Bravencová Karolína (Josefov)&lt;TD&gt;0:3&lt;TD&gt;XXX&lt;TD&gt;3:0&lt;TD&gt;2:3&lt;TD&gt;4&lt;TD&gt;2&lt;/TD&gt;&lt;/TR&gt;</v>
      </c>
      <c r="AP6" s="123" t="str">
        <f>CONCATENATE("&lt;TR&gt;&lt;TD&gt;",J6,"&lt;TD&gt;",K6,"&lt;/TD&gt;&lt;/TR&gt;")</f>
        <v>&lt;TR&gt;&lt;TD&gt;Tufová Laura - Bařinová Tereza&lt;TD&gt;0 : 3 (-8,-8,-2)&lt;/TD&gt;&lt;/TR&gt;</v>
      </c>
    </row>
    <row r="7" spans="1:42" ht="16.5" customHeight="1">
      <c r="A7" s="118">
        <v>48</v>
      </c>
      <c r="B7" s="32" t="str">
        <f>IF($A7="","",CONCATENATE(VLOOKUP($A7,sez!$A$2:$B$258,2)," (",VLOOKUP($A7,sez!$A$2:$E$259,4),")"))</f>
        <v>Bařinová Tereza (Agrotec Hustopeče)</v>
      </c>
      <c r="C7" s="36" t="str">
        <f>IF(Y9+Z9=0,"",CONCATENATE(Y9,":",Z9))</f>
        <v>0:3</v>
      </c>
      <c r="D7" s="28" t="str">
        <f>IF(Y5+Z5=0,"",CONCATENATE(Z5,":",Y5))</f>
        <v>0:3</v>
      </c>
      <c r="E7" s="28" t="s">
        <v>31</v>
      </c>
      <c r="F7" s="29" t="str">
        <f>IF(Y6+Z6=0,"",CONCATENATE(Z6,":",Y6))</f>
        <v>3:0</v>
      </c>
      <c r="G7" s="34">
        <f>IF(AF5+AF6+AE9=0,"",AF5+AF6+AE9)</f>
        <v>4</v>
      </c>
      <c r="H7" s="115">
        <v>3</v>
      </c>
      <c r="J7" s="25" t="str">
        <f t="shared" si="0"/>
        <v>Cupáková Bára - Bravencová Karolína</v>
      </c>
      <c r="K7" s="25" t="str">
        <f t="shared" si="1"/>
        <v>3 : 0 (8,4,5)</v>
      </c>
      <c r="M7" s="122" t="str">
        <f>CONCATENATE("1.st. ",úvod!$C$8," - ",M3)</f>
        <v>1.st. U13 - Skupina A</v>
      </c>
      <c r="N7" s="122">
        <f>A5</f>
        <v>41</v>
      </c>
      <c r="O7" s="122" t="str">
        <f>IF($N7=0,"----------",VLOOKUP($N7,sez!$A$2:$C$258,2))</f>
        <v>Cupáková Bára</v>
      </c>
      <c r="P7" s="122" t="str">
        <f>IF($N7=0,"",VLOOKUP($N7,sez!$A$2:$D$258,4))</f>
        <v>KST FOSFA LVA</v>
      </c>
      <c r="Q7" s="122">
        <f>A6</f>
        <v>49</v>
      </c>
      <c r="R7" s="122" t="str">
        <f>IF($Q7=0,"----------",VLOOKUP($Q7,sez!$A$2:$C$258,2))</f>
        <v>Bravencová Karolína</v>
      </c>
      <c r="S7" s="122" t="str">
        <f>IF($Q7=0,"",VLOOKUP($Q7,sez!$A$2:$D$258,4))</f>
        <v>Josefov</v>
      </c>
      <c r="T7" s="57" t="s">
        <v>130</v>
      </c>
      <c r="U7" s="58" t="s">
        <v>129</v>
      </c>
      <c r="V7" s="58" t="s">
        <v>123</v>
      </c>
      <c r="W7" s="58"/>
      <c r="X7" s="59"/>
      <c r="Y7" s="25">
        <f t="shared" si="2"/>
        <v>3</v>
      </c>
      <c r="Z7" s="25">
        <f t="shared" si="3"/>
        <v>0</v>
      </c>
      <c r="AA7" s="25">
        <f t="shared" si="4"/>
        <v>41</v>
      </c>
      <c r="AB7" s="25" t="str">
        <f>IF($AA7=0,"",VLOOKUP($AA7,sez!$A$2:$C$258,2))</f>
        <v>Cupáková Bára</v>
      </c>
      <c r="AC7" s="25" t="str">
        <f t="shared" si="5"/>
        <v>3:0 (8,4,5)</v>
      </c>
      <c r="AD7" s="123" t="str">
        <f t="shared" si="6"/>
        <v>3:0 (8,4,5)</v>
      </c>
      <c r="AE7" s="123">
        <f t="shared" si="7"/>
        <v>2</v>
      </c>
      <c r="AF7" s="123">
        <f t="shared" si="8"/>
        <v>1</v>
      </c>
      <c r="AH7" s="123">
        <f t="shared" si="9"/>
        <v>1</v>
      </c>
      <c r="AI7" s="123">
        <f t="shared" si="9"/>
        <v>1</v>
      </c>
      <c r="AJ7" s="123">
        <f t="shared" si="9"/>
        <v>1</v>
      </c>
      <c r="AK7" s="123">
        <f t="shared" si="9"/>
        <v>0</v>
      </c>
      <c r="AL7" s="123">
        <f t="shared" si="9"/>
        <v>0</v>
      </c>
      <c r="AN7" s="123" t="str">
        <f>CONCATENATE(AP4,AP5,AP6,AP7,AP8,AP9,)</f>
        <v>&lt;TR&gt;&lt;TD width=250&gt;Cupáková Bára - Tufová Laura&lt;TD&gt;3 : 0 (8,5,6)&lt;/TD&gt;&lt;/TR&gt;&lt;TR&gt;&lt;TD&gt;Bravencová Karolína - Bařinová Tereza&lt;TD&gt;3 : 0 (9,6,6)&lt;/TD&gt;&lt;/TR&gt;&lt;TR&gt;&lt;TD&gt;Tufová Laura - Bařinová Tereza&lt;TD&gt;0 : 3 (-8,-8,-2)&lt;/TD&gt;&lt;/TR&gt;&lt;TR&gt;&lt;TD&gt;Cupáková Bára - Bravencová Karolína&lt;TD&gt;3 : 0 (8,4,5)&lt;/TD&gt;&lt;/TR&gt;&lt;TR&gt;&lt;TD&gt;Bravencová Karolína - Tufová Laura&lt;TD&gt;2 : 3 (-7,8,-8,9,-5)&lt;/TD&gt;&lt;/TR&gt;&lt;TR&gt;&lt;TD&gt;Bařinová Tereza - Cupáková Bára&lt;TD&gt;0 : 3 (-6,-3,-6)&lt;/TD&gt;&lt;/TR&gt;</v>
      </c>
      <c r="AO7" s="123" t="str">
        <f>CONCATENATE("&lt;TR&gt;&lt;TD&gt;",A7,"&lt;TD width=200&gt;",B7,"&lt;TD&gt;",C7,"&lt;TD&gt;",D7,"&lt;TD&gt;",E7,"&lt;TD&gt;",F7,"&lt;TD&gt;",G7,"&lt;TD&gt;",H7,"&lt;/TD&gt;&lt;/TR&gt;")</f>
        <v>&lt;TR&gt;&lt;TD&gt;48&lt;TD width=200&gt;Bařinová Tereza (Agrotec Hustopeče)&lt;TD&gt;0:3&lt;TD&gt;0:3&lt;TD&gt;XXX&lt;TD&gt;3:0&lt;TD&gt;4&lt;TD&gt;3&lt;/TD&gt;&lt;/TR&gt;</v>
      </c>
      <c r="AP7" s="123" t="str">
        <f>CONCATENATE("&lt;TR&gt;&lt;TD&gt;",J7,"&lt;TD&gt;",K7,"&lt;/TD&gt;&lt;/TR&gt;")</f>
        <v>&lt;TR&gt;&lt;TD&gt;Cupáková Bára - Bravencová Karolína&lt;TD&gt;3 : 0 (8,4,5)&lt;/TD&gt;&lt;/TR&gt;</v>
      </c>
    </row>
    <row r="8" spans="1:42" ht="16.5" customHeight="1" thickBot="1">
      <c r="A8" s="119">
        <v>53</v>
      </c>
      <c r="B8" s="33" t="str">
        <f>IF($A8="","",CONCATENATE(VLOOKUP($A8,sez!$A$2:$B$258,2)," (",VLOOKUP($A8,sez!$A$2:$E$259,4),")"))</f>
        <v>Tufová Laura (SKST Hodonín)</v>
      </c>
      <c r="C8" s="37" t="str">
        <f>IF(Y4+Z4=0,"",CONCATENATE(Z4,":",Y4))</f>
        <v>0:3</v>
      </c>
      <c r="D8" s="30" t="str">
        <f>IF(Y8+Z8=0,"",CONCATENATE(Z8,":",Y8))</f>
        <v>3:2</v>
      </c>
      <c r="E8" s="30" t="str">
        <f>IF(Y6+Z6=0,"",CONCATENATE(Y6,":",Z6))</f>
        <v>0:3</v>
      </c>
      <c r="F8" s="31" t="s">
        <v>31</v>
      </c>
      <c r="G8" s="35">
        <f>IF(AF4+AE6+AF8=0,"",AF4+AE6+AF8)</f>
        <v>4</v>
      </c>
      <c r="H8" s="116">
        <v>4</v>
      </c>
      <c r="J8" s="25" t="str">
        <f t="shared" si="0"/>
        <v>Bravencová Karolína - Tufová Laura</v>
      </c>
      <c r="K8" s="25" t="str">
        <f t="shared" si="1"/>
        <v>2 : 3 (-7,8,-8,9,-5)</v>
      </c>
      <c r="M8" s="122" t="str">
        <f>CONCATENATE("1.st. ",úvod!$C$8," - ",M3)</f>
        <v>1.st. U13 - Skupina A</v>
      </c>
      <c r="N8" s="122">
        <f>A6</f>
        <v>49</v>
      </c>
      <c r="O8" s="122" t="str">
        <f>IF($N8=0,"----------",VLOOKUP($N8,sez!$A$2:$C$258,2))</f>
        <v>Bravencová Karolína</v>
      </c>
      <c r="P8" s="122" t="str">
        <f>IF($N8=0,"",VLOOKUP($N8,sez!$A$2:$D$258,4))</f>
        <v>Josefov</v>
      </c>
      <c r="Q8" s="122">
        <f>A8</f>
        <v>53</v>
      </c>
      <c r="R8" s="122" t="str">
        <f>IF($Q8=0,"----------",VLOOKUP($Q8,sez!$A$2:$C$258,2))</f>
        <v>Tufová Laura</v>
      </c>
      <c r="S8" s="122" t="str">
        <f>IF($Q8=0,"",VLOOKUP($Q8,sez!$A$2:$D$258,4))</f>
        <v>SKST Hodonín</v>
      </c>
      <c r="T8" s="57" t="s">
        <v>124</v>
      </c>
      <c r="U8" s="58" t="s">
        <v>130</v>
      </c>
      <c r="V8" s="58" t="s">
        <v>133</v>
      </c>
      <c r="W8" s="58" t="s">
        <v>121</v>
      </c>
      <c r="X8" s="59" t="s">
        <v>135</v>
      </c>
      <c r="Y8" s="25">
        <f t="shared" si="2"/>
        <v>2</v>
      </c>
      <c r="Z8" s="25">
        <f t="shared" si="3"/>
        <v>3</v>
      </c>
      <c r="AA8" s="25">
        <f t="shared" si="4"/>
        <v>53</v>
      </c>
      <c r="AB8" s="25" t="str">
        <f>IF($AA8=0,"",VLOOKUP($AA8,sez!$A$2:$C$258,2))</f>
        <v>Tufová Laura</v>
      </c>
      <c r="AC8" s="25" t="str">
        <f t="shared" si="5"/>
        <v>3:2 (7,-8,8,-9,5)</v>
      </c>
      <c r="AD8" s="123" t="str">
        <f t="shared" si="6"/>
        <v>3:2 (7,-8,8,-9,5)</v>
      </c>
      <c r="AE8" s="123">
        <f t="shared" si="7"/>
        <v>1</v>
      </c>
      <c r="AF8" s="123">
        <f t="shared" si="8"/>
        <v>2</v>
      </c>
      <c r="AH8" s="123">
        <f t="shared" si="9"/>
        <v>-1</v>
      </c>
      <c r="AI8" s="123">
        <f t="shared" si="9"/>
        <v>1</v>
      </c>
      <c r="AJ8" s="123">
        <f t="shared" si="9"/>
        <v>-1</v>
      </c>
      <c r="AK8" s="123">
        <f t="shared" si="9"/>
        <v>1</v>
      </c>
      <c r="AL8" s="123">
        <f t="shared" si="9"/>
        <v>-1</v>
      </c>
      <c r="AN8" s="123" t="str">
        <f>CONCATENATE("&lt;/Table&gt;&lt;/TD&gt;&lt;/TR&gt;&lt;/Table&gt;&lt;P&gt;")</f>
        <v>&lt;/Table&gt;&lt;/TD&gt;&lt;/TR&gt;&lt;/Table&gt;&lt;P&gt;</v>
      </c>
      <c r="AO8" s="123" t="str">
        <f>CONCATENATE("&lt;TR&gt;&lt;TD&gt;",A8,"&lt;TD width=200&gt;",B8,"&lt;TD&gt;",C8,"&lt;TD&gt;",D8,"&lt;TD&gt;",E8,"&lt;TD&gt;",F8,"&lt;TD&gt;",G8,"&lt;TD&gt;",H8,"&lt;/TD&gt;&lt;/TR&gt;")</f>
        <v>&lt;TR&gt;&lt;TD&gt;53&lt;TD width=200&gt;Tufová Laura (SKST Hodonín)&lt;TD&gt;0:3&lt;TD&gt;3:2&lt;TD&gt;0:3&lt;TD&gt;XXX&lt;TD&gt;4&lt;TD&gt;4&lt;/TD&gt;&lt;/TR&gt;</v>
      </c>
      <c r="AP8" s="123" t="str">
        <f>CONCATENATE("&lt;TR&gt;&lt;TD&gt;",J8,"&lt;TD&gt;",K8,"&lt;/TD&gt;&lt;/TR&gt;")</f>
        <v>&lt;TR&gt;&lt;TD&gt;Bravencová Karolína - Tufová Laura&lt;TD&gt;2 : 3 (-7,8,-8,9,-5)&lt;/TD&gt;&lt;/TR&gt;</v>
      </c>
    </row>
    <row r="9" spans="10:42" ht="16.5" customHeight="1" thickBot="1" thickTop="1">
      <c r="J9" s="25" t="str">
        <f t="shared" si="0"/>
        <v>Bařinová Tereza - Cupáková Bára</v>
      </c>
      <c r="K9" s="25" t="str">
        <f t="shared" si="1"/>
        <v>0 : 3 (-6,-3,-6)</v>
      </c>
      <c r="M9" s="122" t="str">
        <f>CONCATENATE("1.st. ",úvod!$C$8," - ",M3)</f>
        <v>1.st. U13 - Skupina A</v>
      </c>
      <c r="N9" s="122">
        <f>A7</f>
        <v>48</v>
      </c>
      <c r="O9" s="122" t="str">
        <f>IF($N9=0,"----------",VLOOKUP($N9,sez!$A$2:$C$258,2))</f>
        <v>Bařinová Tereza</v>
      </c>
      <c r="P9" s="122" t="str">
        <f>IF($N9=0,"",VLOOKUP($N9,sez!$A$2:$D$258,4))</f>
        <v>Agrotec Hustopeče</v>
      </c>
      <c r="Q9" s="122">
        <f>A5</f>
        <v>41</v>
      </c>
      <c r="R9" s="122" t="str">
        <f>IF($Q9=0,"----------",VLOOKUP($Q9,sez!$A$2:$C$258,2))</f>
        <v>Cupáková Bára</v>
      </c>
      <c r="S9" s="122" t="str">
        <f>IF($Q9=0,"",VLOOKUP($Q9,sez!$A$2:$D$258,4))</f>
        <v>KST FOSFA LVA</v>
      </c>
      <c r="T9" s="60" t="s">
        <v>137</v>
      </c>
      <c r="U9" s="61" t="s">
        <v>125</v>
      </c>
      <c r="V9" s="61" t="s">
        <v>137</v>
      </c>
      <c r="W9" s="61"/>
      <c r="X9" s="62"/>
      <c r="Y9" s="25">
        <f t="shared" si="2"/>
        <v>0</v>
      </c>
      <c r="Z9" s="25">
        <f t="shared" si="3"/>
        <v>3</v>
      </c>
      <c r="AA9" s="25">
        <f t="shared" si="4"/>
        <v>41</v>
      </c>
      <c r="AB9" s="25" t="str">
        <f>IF($AA9=0,"",VLOOKUP($AA9,sez!$A$2:$C$258,2))</f>
        <v>Cupáková Bára</v>
      </c>
      <c r="AC9" s="25" t="str">
        <f t="shared" si="5"/>
        <v>3:0 (6,3,6)</v>
      </c>
      <c r="AD9" s="123" t="str">
        <f t="shared" si="6"/>
        <v>3:0 (6,3,6)</v>
      </c>
      <c r="AE9" s="123">
        <f t="shared" si="7"/>
        <v>1</v>
      </c>
      <c r="AF9" s="123">
        <f t="shared" si="8"/>
        <v>2</v>
      </c>
      <c r="AH9" s="123">
        <f t="shared" si="9"/>
        <v>-1</v>
      </c>
      <c r="AI9" s="123">
        <f t="shared" si="9"/>
        <v>-1</v>
      </c>
      <c r="AJ9" s="123">
        <f t="shared" si="9"/>
        <v>-1</v>
      </c>
      <c r="AK9" s="123">
        <f t="shared" si="9"/>
        <v>0</v>
      </c>
      <c r="AL9" s="123">
        <f t="shared" si="9"/>
        <v>0</v>
      </c>
      <c r="AP9" s="123" t="str">
        <f>CONCATENATE("&lt;TR&gt;&lt;TD&gt;",J9,"&lt;TD&gt;",K9,"&lt;/TD&gt;&lt;/TR&gt;")</f>
        <v>&lt;TR&gt;&lt;TD&gt;Bařinová Tereza - Cupáková Bára&lt;TD&gt;0 : 3 (-6,-3,-6)&lt;/TD&gt;&lt;/TR&gt;</v>
      </c>
    </row>
    <row r="10" spans="13:40" ht="16.5" customHeight="1" thickBot="1" thickTop="1">
      <c r="M10" s="26" t="str">
        <f>B11</f>
        <v>Skupina B</v>
      </c>
      <c r="N10" s="26" t="s">
        <v>0</v>
      </c>
      <c r="O10" s="26" t="s">
        <v>1</v>
      </c>
      <c r="P10" s="26" t="s">
        <v>2</v>
      </c>
      <c r="Q10" s="26" t="s">
        <v>0</v>
      </c>
      <c r="R10" s="26" t="s">
        <v>3</v>
      </c>
      <c r="S10" s="26" t="s">
        <v>2</v>
      </c>
      <c r="T10" s="27" t="s">
        <v>4</v>
      </c>
      <c r="U10" s="27" t="s">
        <v>5</v>
      </c>
      <c r="V10" s="27" t="s">
        <v>6</v>
      </c>
      <c r="W10" s="27" t="s">
        <v>7</v>
      </c>
      <c r="X10" s="27" t="s">
        <v>8</v>
      </c>
      <c r="Y10" s="26" t="s">
        <v>9</v>
      </c>
      <c r="Z10" s="26" t="s">
        <v>10</v>
      </c>
      <c r="AA10" s="26" t="s">
        <v>11</v>
      </c>
      <c r="AN10" s="123" t="s">
        <v>18</v>
      </c>
    </row>
    <row r="11" spans="1:42" ht="16.5" customHeight="1" thickBot="1" thickTop="1">
      <c r="A11" s="43"/>
      <c r="B11" s="44" t="s">
        <v>21</v>
      </c>
      <c r="C11" s="45">
        <v>1</v>
      </c>
      <c r="D11" s="46">
        <v>2</v>
      </c>
      <c r="E11" s="46">
        <v>3</v>
      </c>
      <c r="F11" s="47">
        <v>4</v>
      </c>
      <c r="G11" s="48" t="s">
        <v>16</v>
      </c>
      <c r="H11" s="47" t="s">
        <v>17</v>
      </c>
      <c r="J11" s="25" t="str">
        <f aca="true" t="shared" si="10" ref="J11:J16">CONCATENATE(O11," - ",R11)</f>
        <v>Báťková Pavlína - Hanáčková Lucie</v>
      </c>
      <c r="K11" s="25" t="str">
        <f aca="true" t="shared" si="11" ref="K11:K16">IF(SUM(Y11:Z11)=0,AD11,CONCATENATE(Y11," : ",Z11," (",T11,",",U11,",",V11,IF(Y11+Z11&gt;3,",",""),W11,IF(Y11+Z11&gt;4,",",""),X11,")"))</f>
        <v>3 : 0 (5,8,2)</v>
      </c>
      <c r="M11" s="122" t="str">
        <f>CONCATENATE("1.st. ",úvod!$C$8," - ",M10)</f>
        <v>1.st. U13 - Skupina B</v>
      </c>
      <c r="N11" s="122">
        <f>A12</f>
        <v>42</v>
      </c>
      <c r="O11" s="122" t="str">
        <f>IF($N11=0,"----------",VLOOKUP($N11,sez!$A$2:$C$258,2))</f>
        <v>Báťková Pavlína</v>
      </c>
      <c r="P11" s="122" t="str">
        <f>IF($N11=0,"",VLOOKUP($N11,sez!$A$2:$D$258,4))</f>
        <v>SKST Hodonín</v>
      </c>
      <c r="Q11" s="122">
        <f>A15</f>
        <v>56</v>
      </c>
      <c r="R11" s="122" t="str">
        <f>IF($Q11=0,"----------",VLOOKUP($Q11,sez!$A$2:$C$258,2))</f>
        <v>Hanáčková Lucie</v>
      </c>
      <c r="S11" s="122" t="str">
        <f>IF($Q11=0,"",VLOOKUP($Q11,sez!$A$2:$D$258,4))</f>
        <v>MK Řeznovice</v>
      </c>
      <c r="T11" s="54" t="s">
        <v>123</v>
      </c>
      <c r="U11" s="55" t="s">
        <v>130</v>
      </c>
      <c r="V11" s="55" t="s">
        <v>128</v>
      </c>
      <c r="W11" s="55"/>
      <c r="X11" s="56"/>
      <c r="Y11" s="25">
        <f aca="true" t="shared" si="12" ref="Y11:Y16">COUNTIF(AH11:AL11,"&gt;0")</f>
        <v>3</v>
      </c>
      <c r="Z11" s="25">
        <f aca="true" t="shared" si="13" ref="Z11:Z16">COUNTIF(AH11:AL11,"&lt;0")</f>
        <v>0</v>
      </c>
      <c r="AA11" s="25">
        <f aca="true" t="shared" si="14" ref="AA11:AA16">IF(Y11=Z11,0,IF(Y11&gt;Z11,N11,Q11))</f>
        <v>42</v>
      </c>
      <c r="AB11" s="25" t="str">
        <f>IF($AA11=0,"",VLOOKUP($AA11,sez!$A$2:$C$258,2))</f>
        <v>Báťková Pavlína</v>
      </c>
      <c r="AC11" s="25" t="str">
        <f aca="true" t="shared" si="15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  <v>3:0 (5,8,2)</v>
      </c>
      <c r="AD11" s="123" t="str">
        <f aca="true" t="shared" si="16" ref="AD11:AD16">IF(SUM(Y11:Z11)=0,"",AC11)</f>
        <v>3:0 (5,8,2)</v>
      </c>
      <c r="AE11" s="123">
        <f aca="true" t="shared" si="17" ref="AE11:AE16">IF(T11="",0,IF(Y11&gt;Z11,2,1))</f>
        <v>2</v>
      </c>
      <c r="AF11" s="123">
        <f aca="true" t="shared" si="18" ref="AF11:AF16">IF(T11="",0,IF(Z11&gt;Y11,2,1))</f>
        <v>1</v>
      </c>
      <c r="AH11" s="123">
        <f aca="true" t="shared" si="19" ref="AH11:AL16">IF(T11="",0,IF(MID(T11,1,1)="-",-1,1))</f>
        <v>1</v>
      </c>
      <c r="AI11" s="123">
        <f t="shared" si="19"/>
        <v>1</v>
      </c>
      <c r="AJ11" s="123">
        <f t="shared" si="19"/>
        <v>1</v>
      </c>
      <c r="AK11" s="123">
        <f t="shared" si="19"/>
        <v>0</v>
      </c>
      <c r="AL11" s="123">
        <f t="shared" si="19"/>
        <v>0</v>
      </c>
      <c r="AN11" s="123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123" t="str">
        <f>CONCATENATE("&lt;TR&gt;&lt;TD width=250&gt;",J11,"&lt;TD&gt;",K11,"&lt;/TD&gt;&lt;/TR&gt;")</f>
        <v>&lt;TR&gt;&lt;TD width=250&gt;Báťková Pavlína - Hanáčková Lucie&lt;TD&gt;3 : 0 (5,8,2)&lt;/TD&gt;&lt;/TR&gt;</v>
      </c>
    </row>
    <row r="12" spans="1:42" ht="16.5" customHeight="1" thickTop="1">
      <c r="A12" s="117">
        <v>42</v>
      </c>
      <c r="B12" s="38" t="str">
        <f>IF($A12="","",CONCATENATE(VLOOKUP($A12,sez!$A$2:$B$258,2)," (",VLOOKUP($A12,sez!$A$2:$E$259,4),")"))</f>
        <v>Báťková Pavlína (SKST Hodonín)</v>
      </c>
      <c r="C12" s="39" t="s">
        <v>31</v>
      </c>
      <c r="D12" s="40" t="str">
        <f>IF(Y14+Z14=0,"",CONCATENATE(Y14,":",Z14))</f>
        <v>3:0</v>
      </c>
      <c r="E12" s="40" t="str">
        <f>IF(Y16+Z16=0,"",CONCATENATE(Z16,":",Y16))</f>
        <v>3:0</v>
      </c>
      <c r="F12" s="41" t="str">
        <f>IF(Y11+Z11=0,"",CONCATENATE(Y11,":",Z11))</f>
        <v>3:0</v>
      </c>
      <c r="G12" s="42">
        <f>IF(AE11+AE14+AF16=0,"",AE11+AE14+AF16)</f>
        <v>6</v>
      </c>
      <c r="H12" s="114">
        <v>1</v>
      </c>
      <c r="J12" s="25" t="str">
        <f t="shared" si="10"/>
        <v>Křepelová Kamila - Polanská Claudia</v>
      </c>
      <c r="K12" s="25" t="str">
        <f t="shared" si="11"/>
        <v>0 : 3 (-4,-8,-7)</v>
      </c>
      <c r="M12" s="122" t="str">
        <f>CONCATENATE("1.st. ",úvod!$C$8," - ",M10)</f>
        <v>1.st. U13 - Skupina B</v>
      </c>
      <c r="N12" s="122">
        <f>A13</f>
        <v>51</v>
      </c>
      <c r="O12" s="122" t="str">
        <f>IF($N12=0,"----------",VLOOKUP($N12,sez!$A$2:$C$258,2))</f>
        <v>Křepelová Kamila</v>
      </c>
      <c r="P12" s="122" t="str">
        <f>IF($N12=0,"",VLOOKUP($N12,sez!$A$2:$D$258,4))</f>
        <v>STK Zbraslavec</v>
      </c>
      <c r="Q12" s="122">
        <f>A14</f>
        <v>46</v>
      </c>
      <c r="R12" s="122" t="str">
        <f>IF($Q12=0,"----------",VLOOKUP($Q12,sez!$A$2:$C$258,2))</f>
        <v>Polanská Claudia</v>
      </c>
      <c r="S12" s="122" t="str">
        <f>IF($Q12=0,"",VLOOKUP($Q12,sez!$A$2:$D$258,4))</f>
        <v>KST FOSFA LVA</v>
      </c>
      <c r="T12" s="57" t="s">
        <v>126</v>
      </c>
      <c r="U12" s="58" t="s">
        <v>133</v>
      </c>
      <c r="V12" s="58" t="s">
        <v>124</v>
      </c>
      <c r="W12" s="58"/>
      <c r="X12" s="59"/>
      <c r="Y12" s="25">
        <f t="shared" si="12"/>
        <v>0</v>
      </c>
      <c r="Z12" s="25">
        <f t="shared" si="13"/>
        <v>3</v>
      </c>
      <c r="AA12" s="25">
        <f t="shared" si="14"/>
        <v>46</v>
      </c>
      <c r="AB12" s="25" t="str">
        <f>IF($AA12=0,"",VLOOKUP($AA12,sez!$A$2:$C$258,2))</f>
        <v>Polanská Claudia</v>
      </c>
      <c r="AC12" s="25" t="str">
        <f t="shared" si="15"/>
        <v>3:0 (4,8,7)</v>
      </c>
      <c r="AD12" s="123" t="str">
        <f t="shared" si="16"/>
        <v>3:0 (4,8,7)</v>
      </c>
      <c r="AE12" s="123">
        <f t="shared" si="17"/>
        <v>1</v>
      </c>
      <c r="AF12" s="123">
        <f t="shared" si="18"/>
        <v>2</v>
      </c>
      <c r="AH12" s="123">
        <f t="shared" si="19"/>
        <v>-1</v>
      </c>
      <c r="AI12" s="123">
        <f t="shared" si="19"/>
        <v>-1</v>
      </c>
      <c r="AJ12" s="123">
        <f t="shared" si="19"/>
        <v>-1</v>
      </c>
      <c r="AK12" s="123">
        <f t="shared" si="19"/>
        <v>0</v>
      </c>
      <c r="AL12" s="123">
        <f t="shared" si="19"/>
        <v>0</v>
      </c>
      <c r="AN12" s="123" t="str">
        <f>CONCATENATE(AO12,AO13,AO14,AO15,)</f>
        <v>&lt;TR&gt;&lt;TD&gt;42&lt;TD width=200&gt;Báťková Pavlína (SKST Hodonín)&lt;TD&gt;XXX&lt;TD&gt;3:0&lt;TD&gt;3:0&lt;TD&gt;3:0&lt;TD&gt;6&lt;TD&gt;1&lt;/TD&gt;&lt;/TR&gt;&lt;TR&gt;&lt;TD&gt;51&lt;TD width=200&gt;Křepelová Kamila (STK Zbraslavec)&lt;TD&gt;0:3&lt;TD&gt;XXX&lt;TD&gt;0:3&lt;TD&gt;0:3&lt;TD&gt;3&lt;TD&gt;4&lt;/TD&gt;&lt;/TR&gt;&lt;TR&gt;&lt;TD&gt;46&lt;TD width=200&gt;Polanská Claudia (KST FOSFA LVA)&lt;TD&gt;0:3&lt;TD&gt;3:0&lt;TD&gt;XXX&lt;TD&gt;3:0&lt;TD&gt;5&lt;TD&gt;2&lt;/TD&gt;&lt;/TR&gt;&lt;TR&gt;&lt;TD&gt;56&lt;TD width=200&gt;Hanáčková Lucie (MK Řeznovice)&lt;TD&gt;0:3&lt;TD&gt;3:0&lt;TD&gt;0:3&lt;TD&gt;XXX&lt;TD&gt;4&lt;TD&gt;3&lt;/TD&gt;&lt;/TR&gt;</v>
      </c>
      <c r="AO12" s="123" t="str">
        <f>CONCATENATE("&lt;TR&gt;&lt;TD&gt;",A12,"&lt;TD width=200&gt;",B12,"&lt;TD&gt;",C12,"&lt;TD&gt;",D12,"&lt;TD&gt;",E12,"&lt;TD&gt;",F12,"&lt;TD&gt;",G12,"&lt;TD&gt;",H12,"&lt;/TD&gt;&lt;/TR&gt;")</f>
        <v>&lt;TR&gt;&lt;TD&gt;42&lt;TD width=200&gt;Báťková Pavlína (SKST Hodonín)&lt;TD&gt;XXX&lt;TD&gt;3:0&lt;TD&gt;3:0&lt;TD&gt;3:0&lt;TD&gt;6&lt;TD&gt;1&lt;/TD&gt;&lt;/TR&gt;</v>
      </c>
      <c r="AP12" s="123" t="str">
        <f>CONCATENATE("&lt;TR&gt;&lt;TD&gt;",J12,"&lt;TD&gt;",K12,"&lt;/TD&gt;&lt;/TR&gt;")</f>
        <v>&lt;TR&gt;&lt;TD&gt;Křepelová Kamila - Polanská Claudia&lt;TD&gt;0 : 3 (-4,-8,-7)&lt;/TD&gt;&lt;/TR&gt;</v>
      </c>
    </row>
    <row r="13" spans="1:42" ht="16.5" customHeight="1">
      <c r="A13" s="118">
        <v>51</v>
      </c>
      <c r="B13" s="32" t="str">
        <f>IF($A13="","",CONCATENATE(VLOOKUP($A13,sez!$A$2:$B$258,2)," (",VLOOKUP($A13,sez!$A$2:$E$259,4),")"))</f>
        <v>Křepelová Kamila (STK Zbraslavec)</v>
      </c>
      <c r="C13" s="36" t="str">
        <f>IF(Y14+Z14=0,"",CONCATENATE(Z14,":",Y14))</f>
        <v>0:3</v>
      </c>
      <c r="D13" s="28" t="s">
        <v>31</v>
      </c>
      <c r="E13" s="28" t="str">
        <f>IF(Y12+Z12=0,"",CONCATENATE(Y12,":",Z12))</f>
        <v>0:3</v>
      </c>
      <c r="F13" s="29" t="str">
        <f>IF(Y15+Z15=0,"",CONCATENATE(Y15,":",Z15))</f>
        <v>0:3</v>
      </c>
      <c r="G13" s="34">
        <f>IF(AE12+AF14+AE15=0,"",AE12+AF14+AE15)</f>
        <v>3</v>
      </c>
      <c r="H13" s="115">
        <v>4</v>
      </c>
      <c r="J13" s="25" t="str">
        <f t="shared" si="10"/>
        <v>Hanáčková Lucie - Polanská Claudia</v>
      </c>
      <c r="K13" s="25" t="str">
        <f t="shared" si="11"/>
        <v>0 : 3 (-7,-14,-10)</v>
      </c>
      <c r="M13" s="122" t="str">
        <f>CONCATENATE("1.st. ",úvod!$C$8," - ",M10)</f>
        <v>1.st. U13 - Skupina B</v>
      </c>
      <c r="N13" s="122">
        <f>A15</f>
        <v>56</v>
      </c>
      <c r="O13" s="122" t="str">
        <f>IF($N13=0,"----------",VLOOKUP($N13,sez!$A$2:$C$258,2))</f>
        <v>Hanáčková Lucie</v>
      </c>
      <c r="P13" s="122" t="str">
        <f>IF($N13=0,"",VLOOKUP($N13,sez!$A$2:$D$258,4))</f>
        <v>MK Řeznovice</v>
      </c>
      <c r="Q13" s="122">
        <f>A14</f>
        <v>46</v>
      </c>
      <c r="R13" s="122" t="str">
        <f>IF($Q13=0,"----------",VLOOKUP($Q13,sez!$A$2:$C$258,2))</f>
        <v>Polanská Claudia</v>
      </c>
      <c r="S13" s="122" t="str">
        <f>IF($Q13=0,"",VLOOKUP($Q13,sez!$A$2:$D$258,4))</f>
        <v>KST FOSFA LVA</v>
      </c>
      <c r="T13" s="57" t="s">
        <v>124</v>
      </c>
      <c r="U13" s="58" t="s">
        <v>138</v>
      </c>
      <c r="V13" s="58" t="s">
        <v>139</v>
      </c>
      <c r="W13" s="58"/>
      <c r="X13" s="59"/>
      <c r="Y13" s="25">
        <f t="shared" si="12"/>
        <v>0</v>
      </c>
      <c r="Z13" s="25">
        <f t="shared" si="13"/>
        <v>3</v>
      </c>
      <c r="AA13" s="25">
        <f t="shared" si="14"/>
        <v>46</v>
      </c>
      <c r="AB13" s="25" t="str">
        <f>IF($AA13=0,"",VLOOKUP($AA13,sez!$A$2:$C$258,2))</f>
        <v>Polanská Claudia</v>
      </c>
      <c r="AC13" s="25" t="str">
        <f t="shared" si="15"/>
        <v>3:0 (7,14,10)</v>
      </c>
      <c r="AD13" s="123" t="str">
        <f t="shared" si="16"/>
        <v>3:0 (7,14,10)</v>
      </c>
      <c r="AE13" s="123">
        <f t="shared" si="17"/>
        <v>1</v>
      </c>
      <c r="AF13" s="123">
        <f t="shared" si="18"/>
        <v>2</v>
      </c>
      <c r="AH13" s="123">
        <f t="shared" si="19"/>
        <v>-1</v>
      </c>
      <c r="AI13" s="123">
        <f t="shared" si="19"/>
        <v>-1</v>
      </c>
      <c r="AJ13" s="123">
        <f t="shared" si="19"/>
        <v>-1</v>
      </c>
      <c r="AK13" s="123">
        <f t="shared" si="19"/>
        <v>0</v>
      </c>
      <c r="AL13" s="123">
        <f t="shared" si="19"/>
        <v>0</v>
      </c>
      <c r="AN13" s="123" t="str">
        <f>CONCATENATE("&lt;/Table&gt;&lt;TD width=420&gt;&lt;Table&gt;")</f>
        <v>&lt;/Table&gt;&lt;TD width=420&gt;&lt;Table&gt;</v>
      </c>
      <c r="AO13" s="123" t="str">
        <f>CONCATENATE("&lt;TR&gt;&lt;TD&gt;",A13,"&lt;TD width=200&gt;",B13,"&lt;TD&gt;",C13,"&lt;TD&gt;",D13,"&lt;TD&gt;",E13,"&lt;TD&gt;",F13,"&lt;TD&gt;",G13,"&lt;TD&gt;",H13,"&lt;/TD&gt;&lt;/TR&gt;")</f>
        <v>&lt;TR&gt;&lt;TD&gt;51&lt;TD width=200&gt;Křepelová Kamila (STK Zbraslavec)&lt;TD&gt;0:3&lt;TD&gt;XXX&lt;TD&gt;0:3&lt;TD&gt;0:3&lt;TD&gt;3&lt;TD&gt;4&lt;/TD&gt;&lt;/TR&gt;</v>
      </c>
      <c r="AP13" s="123" t="str">
        <f>CONCATENATE("&lt;TR&gt;&lt;TD&gt;",J13,"&lt;TD&gt;",K13,"&lt;/TD&gt;&lt;/TR&gt;")</f>
        <v>&lt;TR&gt;&lt;TD&gt;Hanáčková Lucie - Polanská Claudia&lt;TD&gt;0 : 3 (-7,-14,-10)&lt;/TD&gt;&lt;/TR&gt;</v>
      </c>
    </row>
    <row r="14" spans="1:42" ht="16.5" customHeight="1">
      <c r="A14" s="118">
        <v>46</v>
      </c>
      <c r="B14" s="32" t="str">
        <f>IF($A14="","",CONCATENATE(VLOOKUP($A14,sez!$A$2:$B$258,2)," (",VLOOKUP($A14,sez!$A$2:$E$259,4),")"))</f>
        <v>Polanská Claudia (KST FOSFA LVA)</v>
      </c>
      <c r="C14" s="36" t="str">
        <f>IF(Y16+Z16=0,"",CONCATENATE(Y16,":",Z16))</f>
        <v>0:3</v>
      </c>
      <c r="D14" s="28" t="str">
        <f>IF(Y12+Z12=0,"",CONCATENATE(Z12,":",Y12))</f>
        <v>3:0</v>
      </c>
      <c r="E14" s="28" t="s">
        <v>31</v>
      </c>
      <c r="F14" s="29" t="str">
        <f>IF(Y13+Z13=0,"",CONCATENATE(Z13,":",Y13))</f>
        <v>3:0</v>
      </c>
      <c r="G14" s="34">
        <f>IF(AF12+AF13+AE16=0,"",AF12+AF13+AE16)</f>
        <v>5</v>
      </c>
      <c r="H14" s="115">
        <v>2</v>
      </c>
      <c r="J14" s="25" t="str">
        <f t="shared" si="10"/>
        <v>Báťková Pavlína - Křepelová Kamila</v>
      </c>
      <c r="K14" s="25" t="str">
        <f t="shared" si="11"/>
        <v>3 : 0 (4,4,8)</v>
      </c>
      <c r="M14" s="122" t="str">
        <f>CONCATENATE("1.st. ",úvod!$C$8," - ",M10)</f>
        <v>1.st. U13 - Skupina B</v>
      </c>
      <c r="N14" s="122">
        <f>A12</f>
        <v>42</v>
      </c>
      <c r="O14" s="122" t="str">
        <f>IF($N14=0,"----------",VLOOKUP($N14,sez!$A$2:$C$258,2))</f>
        <v>Báťková Pavlína</v>
      </c>
      <c r="P14" s="122" t="str">
        <f>IF($N14=0,"",VLOOKUP($N14,sez!$A$2:$D$258,4))</f>
        <v>SKST Hodonín</v>
      </c>
      <c r="Q14" s="122">
        <f>A13</f>
        <v>51</v>
      </c>
      <c r="R14" s="122" t="str">
        <f>IF($Q14=0,"----------",VLOOKUP($Q14,sez!$A$2:$C$258,2))</f>
        <v>Křepelová Kamila</v>
      </c>
      <c r="S14" s="122" t="str">
        <f>IF($Q14=0,"",VLOOKUP($Q14,sez!$A$2:$D$258,4))</f>
        <v>STK Zbraslavec</v>
      </c>
      <c r="T14" s="57" t="s">
        <v>129</v>
      </c>
      <c r="U14" s="58" t="s">
        <v>129</v>
      </c>
      <c r="V14" s="58" t="s">
        <v>130</v>
      </c>
      <c r="W14" s="58"/>
      <c r="X14" s="59"/>
      <c r="Y14" s="25">
        <f t="shared" si="12"/>
        <v>3</v>
      </c>
      <c r="Z14" s="25">
        <f t="shared" si="13"/>
        <v>0</v>
      </c>
      <c r="AA14" s="25">
        <f t="shared" si="14"/>
        <v>42</v>
      </c>
      <c r="AB14" s="25" t="str">
        <f>IF($AA14=0,"",VLOOKUP($AA14,sez!$A$2:$C$258,2))</f>
        <v>Báťková Pavlína</v>
      </c>
      <c r="AC14" s="25" t="str">
        <f t="shared" si="15"/>
        <v>3:0 (4,4,8)</v>
      </c>
      <c r="AD14" s="123" t="str">
        <f t="shared" si="16"/>
        <v>3:0 (4,4,8)</v>
      </c>
      <c r="AE14" s="123">
        <f t="shared" si="17"/>
        <v>2</v>
      </c>
      <c r="AF14" s="123">
        <f t="shared" si="18"/>
        <v>1</v>
      </c>
      <c r="AH14" s="123">
        <f t="shared" si="19"/>
        <v>1</v>
      </c>
      <c r="AI14" s="123">
        <f t="shared" si="19"/>
        <v>1</v>
      </c>
      <c r="AJ14" s="123">
        <f t="shared" si="19"/>
        <v>1</v>
      </c>
      <c r="AK14" s="123">
        <f t="shared" si="19"/>
        <v>0</v>
      </c>
      <c r="AL14" s="123">
        <f t="shared" si="19"/>
        <v>0</v>
      </c>
      <c r="AN14" s="123" t="str">
        <f>CONCATENATE(AP11,AP12,AP13,AP14,AP15,AP16,)</f>
        <v>&lt;TR&gt;&lt;TD width=250&gt;Báťková Pavlína - Hanáčková Lucie&lt;TD&gt;3 : 0 (5,8,2)&lt;/TD&gt;&lt;/TR&gt;&lt;TR&gt;&lt;TD&gt;Křepelová Kamila - Polanská Claudia&lt;TD&gt;0 : 3 (-4,-8,-7)&lt;/TD&gt;&lt;/TR&gt;&lt;TR&gt;&lt;TD&gt;Hanáčková Lucie - Polanská Claudia&lt;TD&gt;0 : 3 (-7,-14,-10)&lt;/TD&gt;&lt;/TR&gt;&lt;TR&gt;&lt;TD&gt;Báťková Pavlína - Křepelová Kamila&lt;TD&gt;3 : 0 (4,4,8)&lt;/TD&gt;&lt;/TR&gt;&lt;TR&gt;&lt;TD&gt;Křepelová Kamila - Hanáčková Lucie&lt;TD&gt;0 : 3 (-5,-6,-8)&lt;/TD&gt;&lt;/TR&gt;&lt;TR&gt;&lt;TD&gt;Polanská Claudia - Báťková Pavlína&lt;TD&gt;0 : 3 (-2,-10,-3)&lt;/TD&gt;&lt;/TR&gt;</v>
      </c>
      <c r="AO14" s="123" t="str">
        <f>CONCATENATE("&lt;TR&gt;&lt;TD&gt;",A14,"&lt;TD width=200&gt;",B14,"&lt;TD&gt;",C14,"&lt;TD&gt;",D14,"&lt;TD&gt;",E14,"&lt;TD&gt;",F14,"&lt;TD&gt;",G14,"&lt;TD&gt;",H14,"&lt;/TD&gt;&lt;/TR&gt;")</f>
        <v>&lt;TR&gt;&lt;TD&gt;46&lt;TD width=200&gt;Polanská Claudia (KST FOSFA LVA)&lt;TD&gt;0:3&lt;TD&gt;3:0&lt;TD&gt;XXX&lt;TD&gt;3:0&lt;TD&gt;5&lt;TD&gt;2&lt;/TD&gt;&lt;/TR&gt;</v>
      </c>
      <c r="AP14" s="123" t="str">
        <f>CONCATENATE("&lt;TR&gt;&lt;TD&gt;",J14,"&lt;TD&gt;",K14,"&lt;/TD&gt;&lt;/TR&gt;")</f>
        <v>&lt;TR&gt;&lt;TD&gt;Báťková Pavlína - Křepelová Kamila&lt;TD&gt;3 : 0 (4,4,8)&lt;/TD&gt;&lt;/TR&gt;</v>
      </c>
    </row>
    <row r="15" spans="1:42" ht="16.5" customHeight="1" thickBot="1">
      <c r="A15" s="119">
        <v>56</v>
      </c>
      <c r="B15" s="33" t="str">
        <f>IF($A15="","",CONCATENATE(VLOOKUP($A15,sez!$A$2:$B$258,2)," (",VLOOKUP($A15,sez!$A$2:$E$259,4),")"))</f>
        <v>Hanáčková Lucie (MK Řeznovice)</v>
      </c>
      <c r="C15" s="37" t="str">
        <f>IF(Y11+Z11=0,"",CONCATENATE(Z11,":",Y11))</f>
        <v>0:3</v>
      </c>
      <c r="D15" s="30" t="str">
        <f>IF(Y15+Z15=0,"",CONCATENATE(Z15,":",Y15))</f>
        <v>3:0</v>
      </c>
      <c r="E15" s="30" t="str">
        <f>IF(Y13+Z13=0,"",CONCATENATE(Y13,":",Z13))</f>
        <v>0:3</v>
      </c>
      <c r="F15" s="31" t="s">
        <v>31</v>
      </c>
      <c r="G15" s="35">
        <f>IF(AF11+AE13+AF15=0,"",AF11+AE13+AF15)</f>
        <v>4</v>
      </c>
      <c r="H15" s="116">
        <v>3</v>
      </c>
      <c r="J15" s="25" t="str">
        <f t="shared" si="10"/>
        <v>Křepelová Kamila - Hanáčková Lucie</v>
      </c>
      <c r="K15" s="25" t="str">
        <f t="shared" si="11"/>
        <v>0 : 3 (-5,-6,-8)</v>
      </c>
      <c r="M15" s="122" t="str">
        <f>CONCATENATE("1.st. ",úvod!$C$8," - ",M10)</f>
        <v>1.st. U13 - Skupina B</v>
      </c>
      <c r="N15" s="122">
        <f>A13</f>
        <v>51</v>
      </c>
      <c r="O15" s="122" t="str">
        <f>IF($N15=0,"----------",VLOOKUP($N15,sez!$A$2:$C$258,2))</f>
        <v>Křepelová Kamila</v>
      </c>
      <c r="P15" s="122" t="str">
        <f>IF($N15=0,"",VLOOKUP($N15,sez!$A$2:$D$258,4))</f>
        <v>STK Zbraslavec</v>
      </c>
      <c r="Q15" s="122">
        <f>A15</f>
        <v>56</v>
      </c>
      <c r="R15" s="122" t="str">
        <f>IF($Q15=0,"----------",VLOOKUP($Q15,sez!$A$2:$C$258,2))</f>
        <v>Hanáčková Lucie</v>
      </c>
      <c r="S15" s="122" t="str">
        <f>IF($Q15=0,"",VLOOKUP($Q15,sez!$A$2:$D$258,4))</f>
        <v>MK Řeznovice</v>
      </c>
      <c r="T15" s="57" t="s">
        <v>135</v>
      </c>
      <c r="U15" s="58" t="s">
        <v>137</v>
      </c>
      <c r="V15" s="58" t="s">
        <v>133</v>
      </c>
      <c r="W15" s="58"/>
      <c r="X15" s="59"/>
      <c r="Y15" s="25">
        <f t="shared" si="12"/>
        <v>0</v>
      </c>
      <c r="Z15" s="25">
        <f t="shared" si="13"/>
        <v>3</v>
      </c>
      <c r="AA15" s="25">
        <f t="shared" si="14"/>
        <v>56</v>
      </c>
      <c r="AB15" s="25" t="str">
        <f>IF($AA15=0,"",VLOOKUP($AA15,sez!$A$2:$C$258,2))</f>
        <v>Hanáčková Lucie</v>
      </c>
      <c r="AC15" s="25" t="str">
        <f t="shared" si="15"/>
        <v>3:0 (5,6,8)</v>
      </c>
      <c r="AD15" s="123" t="str">
        <f t="shared" si="16"/>
        <v>3:0 (5,6,8)</v>
      </c>
      <c r="AE15" s="123">
        <f t="shared" si="17"/>
        <v>1</v>
      </c>
      <c r="AF15" s="123">
        <f t="shared" si="18"/>
        <v>2</v>
      </c>
      <c r="AH15" s="123">
        <f t="shared" si="19"/>
        <v>-1</v>
      </c>
      <c r="AI15" s="123">
        <f t="shared" si="19"/>
        <v>-1</v>
      </c>
      <c r="AJ15" s="123">
        <f t="shared" si="19"/>
        <v>-1</v>
      </c>
      <c r="AK15" s="123">
        <f t="shared" si="19"/>
        <v>0</v>
      </c>
      <c r="AL15" s="123">
        <f t="shared" si="19"/>
        <v>0</v>
      </c>
      <c r="AN15" s="123" t="str">
        <f>CONCATENATE("&lt;/Table&gt;&lt;/TD&gt;&lt;/TR&gt;&lt;/Table&gt;&lt;P&gt;")</f>
        <v>&lt;/Table&gt;&lt;/TD&gt;&lt;/TR&gt;&lt;/Table&gt;&lt;P&gt;</v>
      </c>
      <c r="AO15" s="123" t="str">
        <f>CONCATENATE("&lt;TR&gt;&lt;TD&gt;",A15,"&lt;TD width=200&gt;",B15,"&lt;TD&gt;",C15,"&lt;TD&gt;",D15,"&lt;TD&gt;",E15,"&lt;TD&gt;",F15,"&lt;TD&gt;",G15,"&lt;TD&gt;",H15,"&lt;/TD&gt;&lt;/TR&gt;")</f>
        <v>&lt;TR&gt;&lt;TD&gt;56&lt;TD width=200&gt;Hanáčková Lucie (MK Řeznovice)&lt;TD&gt;0:3&lt;TD&gt;3:0&lt;TD&gt;0:3&lt;TD&gt;XXX&lt;TD&gt;4&lt;TD&gt;3&lt;/TD&gt;&lt;/TR&gt;</v>
      </c>
      <c r="AP15" s="123" t="str">
        <f>CONCATENATE("&lt;TR&gt;&lt;TD&gt;",J15,"&lt;TD&gt;",K15,"&lt;/TD&gt;&lt;/TR&gt;")</f>
        <v>&lt;TR&gt;&lt;TD&gt;Křepelová Kamila - Hanáčková Lucie&lt;TD&gt;0 : 3 (-5,-6,-8)&lt;/TD&gt;&lt;/TR&gt;</v>
      </c>
    </row>
    <row r="16" spans="10:42" ht="16.5" customHeight="1" thickBot="1" thickTop="1">
      <c r="J16" s="25" t="str">
        <f t="shared" si="10"/>
        <v>Polanská Claudia - Báťková Pavlína</v>
      </c>
      <c r="K16" s="25" t="str">
        <f t="shared" si="11"/>
        <v>0 : 3 (-2,-10,-3)</v>
      </c>
      <c r="M16" s="122" t="str">
        <f>CONCATENATE("1.st. ",úvod!$C$8," - ",M10)</f>
        <v>1.st. U13 - Skupina B</v>
      </c>
      <c r="N16" s="122">
        <f>A14</f>
        <v>46</v>
      </c>
      <c r="O16" s="122" t="str">
        <f>IF($N16=0,"----------",VLOOKUP($N16,sez!$A$2:$C$258,2))</f>
        <v>Polanská Claudia</v>
      </c>
      <c r="P16" s="122" t="str">
        <f>IF($N16=0,"",VLOOKUP($N16,sez!$A$2:$D$258,4))</f>
        <v>KST FOSFA LVA</v>
      </c>
      <c r="Q16" s="122">
        <f>A12</f>
        <v>42</v>
      </c>
      <c r="R16" s="122" t="str">
        <f>IF($Q16=0,"----------",VLOOKUP($Q16,sez!$A$2:$C$258,2))</f>
        <v>Báťková Pavlína</v>
      </c>
      <c r="S16" s="122" t="str">
        <f>IF($Q16=0,"",VLOOKUP($Q16,sez!$A$2:$D$258,4))</f>
        <v>SKST Hodonín</v>
      </c>
      <c r="T16" s="60" t="s">
        <v>141</v>
      </c>
      <c r="U16" s="61" t="s">
        <v>139</v>
      </c>
      <c r="V16" s="61" t="s">
        <v>125</v>
      </c>
      <c r="W16" s="61"/>
      <c r="X16" s="62"/>
      <c r="Y16" s="25">
        <f t="shared" si="12"/>
        <v>0</v>
      </c>
      <c r="Z16" s="25">
        <f t="shared" si="13"/>
        <v>3</v>
      </c>
      <c r="AA16" s="25">
        <f t="shared" si="14"/>
        <v>42</v>
      </c>
      <c r="AB16" s="25" t="str">
        <f>IF($AA16=0,"",VLOOKUP($AA16,sez!$A$2:$C$258,2))</f>
        <v>Báťková Pavlína</v>
      </c>
      <c r="AC16" s="25" t="str">
        <f t="shared" si="15"/>
        <v>3:0 (2,10,3)</v>
      </c>
      <c r="AD16" s="123" t="str">
        <f t="shared" si="16"/>
        <v>3:0 (2,10,3)</v>
      </c>
      <c r="AE16" s="123">
        <f t="shared" si="17"/>
        <v>1</v>
      </c>
      <c r="AF16" s="123">
        <f t="shared" si="18"/>
        <v>2</v>
      </c>
      <c r="AH16" s="123">
        <f t="shared" si="19"/>
        <v>-1</v>
      </c>
      <c r="AI16" s="123">
        <f t="shared" si="19"/>
        <v>-1</v>
      </c>
      <c r="AJ16" s="123">
        <f t="shared" si="19"/>
        <v>-1</v>
      </c>
      <c r="AK16" s="123">
        <f t="shared" si="19"/>
        <v>0</v>
      </c>
      <c r="AL16" s="123">
        <f t="shared" si="19"/>
        <v>0</v>
      </c>
      <c r="AP16" s="123" t="str">
        <f>CONCATENATE("&lt;TR&gt;&lt;TD&gt;",J16,"&lt;TD&gt;",K16,"&lt;/TD&gt;&lt;/TR&gt;")</f>
        <v>&lt;TR&gt;&lt;TD&gt;Polanská Claudia - Báťková Pavlína&lt;TD&gt;0 : 3 (-2,-10,-3)&lt;/TD&gt;&lt;/TR&gt;</v>
      </c>
    </row>
    <row r="17" spans="13:40" ht="16.5" customHeight="1" thickBot="1" thickTop="1">
      <c r="M17" s="26" t="str">
        <f>B18</f>
        <v>Skupina C</v>
      </c>
      <c r="N17" s="26" t="s">
        <v>0</v>
      </c>
      <c r="O17" s="26" t="s">
        <v>1</v>
      </c>
      <c r="P17" s="26" t="s">
        <v>2</v>
      </c>
      <c r="Q17" s="26" t="s">
        <v>0</v>
      </c>
      <c r="R17" s="26" t="s">
        <v>3</v>
      </c>
      <c r="S17" s="26" t="s">
        <v>2</v>
      </c>
      <c r="T17" s="27" t="s">
        <v>4</v>
      </c>
      <c r="U17" s="27" t="s">
        <v>5</v>
      </c>
      <c r="V17" s="27" t="s">
        <v>6</v>
      </c>
      <c r="W17" s="27" t="s">
        <v>7</v>
      </c>
      <c r="X17" s="27" t="s">
        <v>8</v>
      </c>
      <c r="Y17" s="26" t="s">
        <v>9</v>
      </c>
      <c r="Z17" s="26" t="s">
        <v>10</v>
      </c>
      <c r="AA17" s="26" t="s">
        <v>11</v>
      </c>
      <c r="AN17" s="123" t="s">
        <v>18</v>
      </c>
    </row>
    <row r="18" spans="1:42" ht="16.5" customHeight="1" thickBot="1" thickTop="1">
      <c r="A18" s="43"/>
      <c r="B18" s="44" t="s">
        <v>22</v>
      </c>
      <c r="C18" s="45">
        <v>1</v>
      </c>
      <c r="D18" s="46">
        <v>2</v>
      </c>
      <c r="E18" s="46">
        <v>3</v>
      </c>
      <c r="F18" s="47">
        <v>4</v>
      </c>
      <c r="G18" s="48" t="s">
        <v>16</v>
      </c>
      <c r="H18" s="47" t="s">
        <v>17</v>
      </c>
      <c r="J18" s="25" t="str">
        <f aca="true" t="shared" si="20" ref="J18:J23">CONCATENATE(O18," - ",R18)</f>
        <v>Struhárová Jana - Konkolová Julie</v>
      </c>
      <c r="K18" s="25" t="str">
        <f aca="true" t="shared" si="21" ref="K18:K23">IF(SUM(Y18:Z18)=0,AD18,CONCATENATE(Y18," : ",Z18," (",T18,",",U18,",",V18,IF(Y18+Z18&gt;3,",",""),W18,IF(Y18+Z18&gt;4,",",""),X18,")"))</f>
        <v>3 : 0 (4,2,1)</v>
      </c>
      <c r="M18" s="122" t="str">
        <f>CONCATENATE("1.st. ",úvod!$C$8," - ",M17)</f>
        <v>1.st. U13 - Skupina C</v>
      </c>
      <c r="N18" s="122">
        <f>A19</f>
        <v>43</v>
      </c>
      <c r="O18" s="122" t="str">
        <f>IF($N18=0,"----------",VLOOKUP($N18,sez!$A$2:$C$258,2))</f>
        <v>Struhárová Jana</v>
      </c>
      <c r="P18" s="122" t="str">
        <f>IF($N18=0,"",VLOOKUP($N18,sez!$A$2:$D$258,4))</f>
        <v>MSK Břeclav</v>
      </c>
      <c r="Q18" s="122">
        <f>A22</f>
        <v>54</v>
      </c>
      <c r="R18" s="122" t="str">
        <f>IF($Q18=0,"----------",VLOOKUP($Q18,sez!$A$2:$C$258,2))</f>
        <v>Konkolová Julie</v>
      </c>
      <c r="S18" s="122" t="str">
        <f>IF($Q18=0,"",VLOOKUP($Q18,sez!$A$2:$D$258,4))</f>
        <v>Rousínovec</v>
      </c>
      <c r="T18" s="54" t="s">
        <v>129</v>
      </c>
      <c r="U18" s="55" t="s">
        <v>128</v>
      </c>
      <c r="V18" s="55" t="s">
        <v>136</v>
      </c>
      <c r="W18" s="55"/>
      <c r="X18" s="56"/>
      <c r="Y18" s="25">
        <f aca="true" t="shared" si="22" ref="Y18:Y23">COUNTIF(AH18:AL18,"&gt;0")</f>
        <v>3</v>
      </c>
      <c r="Z18" s="25">
        <f aca="true" t="shared" si="23" ref="Z18:Z23">COUNTIF(AH18:AL18,"&lt;0")</f>
        <v>0</v>
      </c>
      <c r="AA18" s="25">
        <f aca="true" t="shared" si="24" ref="AA18:AA23">IF(Y18=Z18,0,IF(Y18&gt;Z18,N18,Q18))</f>
        <v>43</v>
      </c>
      <c r="AB18" s="25" t="str">
        <f>IF($AA18=0,"",VLOOKUP($AA18,sez!$A$2:$C$258,2))</f>
        <v>Struhárová Jana</v>
      </c>
      <c r="AC18" s="25" t="str">
        <f aca="true" t="shared" si="25" ref="AC18:AC23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(4,2,1)</v>
      </c>
      <c r="AD18" s="123" t="str">
        <f aca="true" t="shared" si="26" ref="AD18:AD23">IF(SUM(Y18:Z18)=0,"",AC18)</f>
        <v>3:0 (4,2,1)</v>
      </c>
      <c r="AE18" s="123">
        <f aca="true" t="shared" si="27" ref="AE18:AE23">IF(T18="",0,IF(Y18&gt;Z18,2,1))</f>
        <v>2</v>
      </c>
      <c r="AF18" s="123">
        <f aca="true" t="shared" si="28" ref="AF18:AF23">IF(T18="",0,IF(Z18&gt;Y18,2,1))</f>
        <v>1</v>
      </c>
      <c r="AH18" s="123">
        <f aca="true" t="shared" si="29" ref="AH18:AL23">IF(T18="",0,IF(MID(T18,1,1)="-",-1,1))</f>
        <v>1</v>
      </c>
      <c r="AI18" s="123">
        <f t="shared" si="29"/>
        <v>1</v>
      </c>
      <c r="AJ18" s="123">
        <f t="shared" si="29"/>
        <v>1</v>
      </c>
      <c r="AK18" s="123">
        <f t="shared" si="29"/>
        <v>0</v>
      </c>
      <c r="AL18" s="123">
        <f t="shared" si="29"/>
        <v>0</v>
      </c>
      <c r="AN18" s="123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123" t="str">
        <f>CONCATENATE("&lt;TR&gt;&lt;TD width=250&gt;",J18,"&lt;TD&gt;",K18,"&lt;/TD&gt;&lt;/TR&gt;")</f>
        <v>&lt;TR&gt;&lt;TD width=250&gt;Struhárová Jana - Konkolová Julie&lt;TD&gt;3 : 0 (4,2,1)&lt;/TD&gt;&lt;/TR&gt;</v>
      </c>
    </row>
    <row r="19" spans="1:42" ht="16.5" customHeight="1" thickTop="1">
      <c r="A19" s="117">
        <v>43</v>
      </c>
      <c r="B19" s="38" t="str">
        <f>IF($A19="","",CONCATENATE(VLOOKUP($A19,sez!$A$2:$B$258,2)," (",VLOOKUP($A19,sez!$A$2:$E$259,4),")"))</f>
        <v>Struhárová Jana (MSK Břeclav)</v>
      </c>
      <c r="C19" s="39" t="s">
        <v>31</v>
      </c>
      <c r="D19" s="40" t="str">
        <f>IF(Y21+Z21=0,"",CONCATENATE(Y21,":",Z21))</f>
        <v>3:0</v>
      </c>
      <c r="E19" s="40" t="str">
        <f>IF(Y23+Z23=0,"",CONCATENATE(Z23,":",Y23))</f>
        <v>3:0</v>
      </c>
      <c r="F19" s="41" t="str">
        <f>IF(Y18+Z18=0,"",CONCATENATE(Y18,":",Z18))</f>
        <v>3:0</v>
      </c>
      <c r="G19" s="42">
        <f>IF(AE18+AE21+AF23=0,"",AE18+AE21+AF23)</f>
        <v>6</v>
      </c>
      <c r="H19" s="114">
        <v>1</v>
      </c>
      <c r="J19" s="25" t="str">
        <f t="shared" si="20"/>
        <v>Zídková Madlen - Kotásková Julie</v>
      </c>
      <c r="K19" s="25" t="str">
        <f t="shared" si="21"/>
        <v>0 : 3 (-5,-7,-4)</v>
      </c>
      <c r="M19" s="122" t="str">
        <f>CONCATENATE("1.st. ",úvod!$C$8," - ",M17)</f>
        <v>1.st. U13 - Skupina C</v>
      </c>
      <c r="N19" s="122">
        <f>A20</f>
        <v>50</v>
      </c>
      <c r="O19" s="122" t="str">
        <f>IF($N19=0,"----------",VLOOKUP($N19,sez!$A$2:$C$258,2))</f>
        <v>Zídková Madlen</v>
      </c>
      <c r="P19" s="122" t="str">
        <f>IF($N19=0,"",VLOOKUP($N19,sez!$A$2:$D$258,4))</f>
        <v>MSK Břeclav</v>
      </c>
      <c r="Q19" s="122">
        <f>A21</f>
        <v>45</v>
      </c>
      <c r="R19" s="122" t="str">
        <f>IF($Q19=0,"----------",VLOOKUP($Q19,sez!$A$2:$C$258,2))</f>
        <v>Kotásková Julie</v>
      </c>
      <c r="S19" s="122" t="str">
        <f>IF($Q19=0,"",VLOOKUP($Q19,sez!$A$2:$D$258,4))</f>
        <v>TJ Mikulčice</v>
      </c>
      <c r="T19" s="57" t="s">
        <v>135</v>
      </c>
      <c r="U19" s="58" t="s">
        <v>124</v>
      </c>
      <c r="V19" s="58" t="s">
        <v>126</v>
      </c>
      <c r="W19" s="58"/>
      <c r="X19" s="59"/>
      <c r="Y19" s="25">
        <f t="shared" si="22"/>
        <v>0</v>
      </c>
      <c r="Z19" s="25">
        <f t="shared" si="23"/>
        <v>3</v>
      </c>
      <c r="AA19" s="25">
        <f t="shared" si="24"/>
        <v>45</v>
      </c>
      <c r="AB19" s="25" t="str">
        <f>IF($AA19=0,"",VLOOKUP($AA19,sez!$A$2:$C$258,2))</f>
        <v>Kotásková Julie</v>
      </c>
      <c r="AC19" s="25" t="str">
        <f t="shared" si="25"/>
        <v>3:0 (5,7,4)</v>
      </c>
      <c r="AD19" s="123" t="str">
        <f t="shared" si="26"/>
        <v>3:0 (5,7,4)</v>
      </c>
      <c r="AE19" s="123">
        <f t="shared" si="27"/>
        <v>1</v>
      </c>
      <c r="AF19" s="123">
        <f t="shared" si="28"/>
        <v>2</v>
      </c>
      <c r="AH19" s="123">
        <f t="shared" si="29"/>
        <v>-1</v>
      </c>
      <c r="AI19" s="123">
        <f t="shared" si="29"/>
        <v>-1</v>
      </c>
      <c r="AJ19" s="123">
        <f t="shared" si="29"/>
        <v>-1</v>
      </c>
      <c r="AK19" s="123">
        <f t="shared" si="29"/>
        <v>0</v>
      </c>
      <c r="AL19" s="123">
        <f t="shared" si="29"/>
        <v>0</v>
      </c>
      <c r="AN19" s="123" t="str">
        <f>CONCATENATE(AO19,AO20,AO21,AO22,)</f>
        <v>&lt;TR&gt;&lt;TD&gt;43&lt;TD width=200&gt;Struhárová Jana (MSK Břeclav)&lt;TD&gt;XXX&lt;TD&gt;3:0&lt;TD&gt;3:0&lt;TD&gt;3:0&lt;TD&gt;6&lt;TD&gt;1&lt;/TD&gt;&lt;/TR&gt;&lt;TR&gt;&lt;TD&gt;50&lt;TD width=200&gt;Zídková Madlen (MSK Břeclav)&lt;TD&gt;0:3&lt;TD&gt;XXX&lt;TD&gt;0:3&lt;TD&gt;3:1&lt;TD&gt;4&lt;TD&gt;3&lt;/TD&gt;&lt;/TR&gt;&lt;TR&gt;&lt;TD&gt;45&lt;TD width=200&gt;Kotásková Julie (TJ Mikulčice)&lt;TD&gt;0:3&lt;TD&gt;3:0&lt;TD&gt;XXX&lt;TD&gt;3:0&lt;TD&gt;5&lt;TD&gt;2&lt;/TD&gt;&lt;/TR&gt;&lt;TR&gt;&lt;TD&gt;54&lt;TD width=200&gt;Konkolová Julie (Rousínovec)&lt;TD&gt;0:3&lt;TD&gt;1:3&lt;TD&gt;0:3&lt;TD&gt;XXX&lt;TD&gt;3&lt;TD&gt;4&lt;/TD&gt;&lt;/TR&gt;</v>
      </c>
      <c r="AO19" s="123" t="str">
        <f>CONCATENATE("&lt;TR&gt;&lt;TD&gt;",A19,"&lt;TD width=200&gt;",B19,"&lt;TD&gt;",C19,"&lt;TD&gt;",D19,"&lt;TD&gt;",E19,"&lt;TD&gt;",F19,"&lt;TD&gt;",G19,"&lt;TD&gt;",H19,"&lt;/TD&gt;&lt;/TR&gt;")</f>
        <v>&lt;TR&gt;&lt;TD&gt;43&lt;TD width=200&gt;Struhárová Jana (MSK Břeclav)&lt;TD&gt;XXX&lt;TD&gt;3:0&lt;TD&gt;3:0&lt;TD&gt;3:0&lt;TD&gt;6&lt;TD&gt;1&lt;/TD&gt;&lt;/TR&gt;</v>
      </c>
      <c r="AP19" s="123" t="str">
        <f>CONCATENATE("&lt;TR&gt;&lt;TD&gt;",J19,"&lt;TD&gt;",K19,"&lt;/TD&gt;&lt;/TR&gt;")</f>
        <v>&lt;TR&gt;&lt;TD&gt;Zídková Madlen - Kotásková Julie&lt;TD&gt;0 : 3 (-5,-7,-4)&lt;/TD&gt;&lt;/TR&gt;</v>
      </c>
    </row>
    <row r="20" spans="1:42" ht="16.5" customHeight="1">
      <c r="A20" s="118">
        <v>50</v>
      </c>
      <c r="B20" s="32" t="str">
        <f>IF($A20="","",CONCATENATE(VLOOKUP($A20,sez!$A$2:$B$258,2)," (",VLOOKUP($A20,sez!$A$2:$E$259,4),")"))</f>
        <v>Zídková Madlen (MSK Břeclav)</v>
      </c>
      <c r="C20" s="36" t="str">
        <f>IF(Y21+Z21=0,"",CONCATENATE(Z21,":",Y21))</f>
        <v>0:3</v>
      </c>
      <c r="D20" s="28" t="s">
        <v>31</v>
      </c>
      <c r="E20" s="28" t="str">
        <f>IF(Y19+Z19=0,"",CONCATENATE(Y19,":",Z19))</f>
        <v>0:3</v>
      </c>
      <c r="F20" s="29" t="str">
        <f>IF(Y22+Z22=0,"",CONCATENATE(Y22,":",Z22))</f>
        <v>3:1</v>
      </c>
      <c r="G20" s="34">
        <f>IF(AE19+AF21+AE22=0,"",AE19+AF21+AE22)</f>
        <v>4</v>
      </c>
      <c r="H20" s="115">
        <v>3</v>
      </c>
      <c r="J20" s="25" t="str">
        <f t="shared" si="20"/>
        <v>Konkolová Julie - Kotásková Julie</v>
      </c>
      <c r="K20" s="25" t="str">
        <f t="shared" si="21"/>
        <v>0 : 3 (-12,-2,-5)</v>
      </c>
      <c r="M20" s="122" t="str">
        <f>CONCATENATE("1.st. ",úvod!$C$8," - ",M17)</f>
        <v>1.st. U13 - Skupina C</v>
      </c>
      <c r="N20" s="122">
        <f>A22</f>
        <v>54</v>
      </c>
      <c r="O20" s="122" t="str">
        <f>IF($N20=0,"----------",VLOOKUP($N20,sez!$A$2:$C$258,2))</f>
        <v>Konkolová Julie</v>
      </c>
      <c r="P20" s="122" t="str">
        <f>IF($N20=0,"",VLOOKUP($N20,sez!$A$2:$D$258,4))</f>
        <v>Rousínovec</v>
      </c>
      <c r="Q20" s="122">
        <f>A21</f>
        <v>45</v>
      </c>
      <c r="R20" s="122" t="str">
        <f>IF($Q20=0,"----------",VLOOKUP($Q20,sez!$A$2:$C$258,2))</f>
        <v>Kotásková Julie</v>
      </c>
      <c r="S20" s="122" t="str">
        <f>IF($Q20=0,"",VLOOKUP($Q20,sez!$A$2:$D$258,4))</f>
        <v>TJ Mikulčice</v>
      </c>
      <c r="T20" s="57" t="s">
        <v>127</v>
      </c>
      <c r="U20" s="58" t="s">
        <v>141</v>
      </c>
      <c r="V20" s="58" t="s">
        <v>135</v>
      </c>
      <c r="W20" s="58"/>
      <c r="X20" s="59"/>
      <c r="Y20" s="25">
        <f t="shared" si="22"/>
        <v>0</v>
      </c>
      <c r="Z20" s="25">
        <f t="shared" si="23"/>
        <v>3</v>
      </c>
      <c r="AA20" s="25">
        <f t="shared" si="24"/>
        <v>45</v>
      </c>
      <c r="AB20" s="25" t="str">
        <f>IF($AA20=0,"",VLOOKUP($AA20,sez!$A$2:$C$258,2))</f>
        <v>Kotásková Julie</v>
      </c>
      <c r="AC20" s="25" t="str">
        <f t="shared" si="25"/>
        <v>3:0 (12,2,5)</v>
      </c>
      <c r="AD20" s="123" t="str">
        <f t="shared" si="26"/>
        <v>3:0 (12,2,5)</v>
      </c>
      <c r="AE20" s="123">
        <f t="shared" si="27"/>
        <v>1</v>
      </c>
      <c r="AF20" s="123">
        <f t="shared" si="28"/>
        <v>2</v>
      </c>
      <c r="AH20" s="123">
        <f t="shared" si="29"/>
        <v>-1</v>
      </c>
      <c r="AI20" s="123">
        <f t="shared" si="29"/>
        <v>-1</v>
      </c>
      <c r="AJ20" s="123">
        <f t="shared" si="29"/>
        <v>-1</v>
      </c>
      <c r="AK20" s="123">
        <f t="shared" si="29"/>
        <v>0</v>
      </c>
      <c r="AL20" s="123">
        <f t="shared" si="29"/>
        <v>0</v>
      </c>
      <c r="AN20" s="123" t="str">
        <f>CONCATENATE("&lt;/Table&gt;&lt;TD width=420&gt;&lt;Table&gt;")</f>
        <v>&lt;/Table&gt;&lt;TD width=420&gt;&lt;Table&gt;</v>
      </c>
      <c r="AO20" s="123" t="str">
        <f>CONCATENATE("&lt;TR&gt;&lt;TD&gt;",A20,"&lt;TD width=200&gt;",B20,"&lt;TD&gt;",C20,"&lt;TD&gt;",D20,"&lt;TD&gt;",E20,"&lt;TD&gt;",F20,"&lt;TD&gt;",G20,"&lt;TD&gt;",H20,"&lt;/TD&gt;&lt;/TR&gt;")</f>
        <v>&lt;TR&gt;&lt;TD&gt;50&lt;TD width=200&gt;Zídková Madlen (MSK Břeclav)&lt;TD&gt;0:3&lt;TD&gt;XXX&lt;TD&gt;0:3&lt;TD&gt;3:1&lt;TD&gt;4&lt;TD&gt;3&lt;/TD&gt;&lt;/TR&gt;</v>
      </c>
      <c r="AP20" s="123" t="str">
        <f>CONCATENATE("&lt;TR&gt;&lt;TD&gt;",J20,"&lt;TD&gt;",K20,"&lt;/TD&gt;&lt;/TR&gt;")</f>
        <v>&lt;TR&gt;&lt;TD&gt;Konkolová Julie - Kotásková Julie&lt;TD&gt;0 : 3 (-12,-2,-5)&lt;/TD&gt;&lt;/TR&gt;</v>
      </c>
    </row>
    <row r="21" spans="1:42" ht="16.5" customHeight="1">
      <c r="A21" s="118">
        <v>45</v>
      </c>
      <c r="B21" s="32" t="str">
        <f>IF($A21="","",CONCATENATE(VLOOKUP($A21,sez!$A$2:$B$258,2)," (",VLOOKUP($A21,sez!$A$2:$E$259,4),")"))</f>
        <v>Kotásková Julie (TJ Mikulčice)</v>
      </c>
      <c r="C21" s="36" t="str">
        <f>IF(Y23+Z23=0,"",CONCATENATE(Y23,":",Z23))</f>
        <v>0:3</v>
      </c>
      <c r="D21" s="28" t="str">
        <f>IF(Y19+Z19=0,"",CONCATENATE(Z19,":",Y19))</f>
        <v>3:0</v>
      </c>
      <c r="E21" s="28" t="s">
        <v>31</v>
      </c>
      <c r="F21" s="29" t="str">
        <f>IF(Y20+Z20=0,"",CONCATENATE(Z20,":",Y20))</f>
        <v>3:0</v>
      </c>
      <c r="G21" s="34">
        <f>IF(AF19+AF20+AE23=0,"",AF19+AF20+AE23)</f>
        <v>5</v>
      </c>
      <c r="H21" s="115">
        <v>2</v>
      </c>
      <c r="J21" s="25" t="str">
        <f t="shared" si="20"/>
        <v>Struhárová Jana - Zídková Madlen</v>
      </c>
      <c r="K21" s="25" t="str">
        <f t="shared" si="21"/>
        <v>3 : 0 (3,5,3)</v>
      </c>
      <c r="M21" s="122" t="str">
        <f>CONCATENATE("1.st. ",úvod!$C$8," - ",M17)</f>
        <v>1.st. U13 - Skupina C</v>
      </c>
      <c r="N21" s="122">
        <f>A19</f>
        <v>43</v>
      </c>
      <c r="O21" s="122" t="str">
        <f>IF($N21=0,"----------",VLOOKUP($N21,sez!$A$2:$C$258,2))</f>
        <v>Struhárová Jana</v>
      </c>
      <c r="P21" s="122" t="str">
        <f>IF($N21=0,"",VLOOKUP($N21,sez!$A$2:$D$258,4))</f>
        <v>MSK Břeclav</v>
      </c>
      <c r="Q21" s="122">
        <f>A20</f>
        <v>50</v>
      </c>
      <c r="R21" s="122" t="str">
        <f>IF($Q21=0,"----------",VLOOKUP($Q21,sez!$A$2:$C$258,2))</f>
        <v>Zídková Madlen</v>
      </c>
      <c r="S21" s="122" t="str">
        <f>IF($Q21=0,"",VLOOKUP($Q21,sez!$A$2:$D$258,4))</f>
        <v>MSK Břeclav</v>
      </c>
      <c r="T21" s="57" t="s">
        <v>132</v>
      </c>
      <c r="U21" s="58" t="s">
        <v>123</v>
      </c>
      <c r="V21" s="58" t="s">
        <v>132</v>
      </c>
      <c r="W21" s="58"/>
      <c r="X21" s="59"/>
      <c r="Y21" s="25">
        <f t="shared" si="22"/>
        <v>3</v>
      </c>
      <c r="Z21" s="25">
        <f t="shared" si="23"/>
        <v>0</v>
      </c>
      <c r="AA21" s="25">
        <f t="shared" si="24"/>
        <v>43</v>
      </c>
      <c r="AB21" s="25" t="str">
        <f>IF($AA21=0,"",VLOOKUP($AA21,sez!$A$2:$C$258,2))</f>
        <v>Struhárová Jana</v>
      </c>
      <c r="AC21" s="25" t="str">
        <f t="shared" si="25"/>
        <v>3:0 (3,5,3)</v>
      </c>
      <c r="AD21" s="123" t="str">
        <f t="shared" si="26"/>
        <v>3:0 (3,5,3)</v>
      </c>
      <c r="AE21" s="123">
        <f t="shared" si="27"/>
        <v>2</v>
      </c>
      <c r="AF21" s="123">
        <f t="shared" si="28"/>
        <v>1</v>
      </c>
      <c r="AH21" s="123">
        <f t="shared" si="29"/>
        <v>1</v>
      </c>
      <c r="AI21" s="123">
        <f t="shared" si="29"/>
        <v>1</v>
      </c>
      <c r="AJ21" s="123">
        <f t="shared" si="29"/>
        <v>1</v>
      </c>
      <c r="AK21" s="123">
        <f t="shared" si="29"/>
        <v>0</v>
      </c>
      <c r="AL21" s="123">
        <f t="shared" si="29"/>
        <v>0</v>
      </c>
      <c r="AN21" s="123" t="str">
        <f>CONCATENATE(AP18,AP19,AP20,AP21,AP22,AP23,)</f>
        <v>&lt;TR&gt;&lt;TD width=250&gt;Struhárová Jana - Konkolová Julie&lt;TD&gt;3 : 0 (4,2,1)&lt;/TD&gt;&lt;/TR&gt;&lt;TR&gt;&lt;TD&gt;Zídková Madlen - Kotásková Julie&lt;TD&gt;0 : 3 (-5,-7,-4)&lt;/TD&gt;&lt;/TR&gt;&lt;TR&gt;&lt;TD&gt;Konkolová Julie - Kotásková Julie&lt;TD&gt;0 : 3 (-12,-2,-5)&lt;/TD&gt;&lt;/TR&gt;&lt;TR&gt;&lt;TD&gt;Struhárová Jana - Zídková Madlen&lt;TD&gt;3 : 0 (3,5,3)&lt;/TD&gt;&lt;/TR&gt;&lt;TR&gt;&lt;TD&gt;Zídková Madlen - Konkolová Julie&lt;TD&gt;3 : 1 (8,-7,6,7)&lt;/TD&gt;&lt;/TR&gt;&lt;TR&gt;&lt;TD&gt;Kotásková Julie - Struhárová Jana&lt;TD&gt;0 : 3 (-5,-6,-6)&lt;/TD&gt;&lt;/TR&gt;</v>
      </c>
      <c r="AO21" s="123" t="str">
        <f>CONCATENATE("&lt;TR&gt;&lt;TD&gt;",A21,"&lt;TD width=200&gt;",B21,"&lt;TD&gt;",C21,"&lt;TD&gt;",D21,"&lt;TD&gt;",E21,"&lt;TD&gt;",F21,"&lt;TD&gt;",G21,"&lt;TD&gt;",H21,"&lt;/TD&gt;&lt;/TR&gt;")</f>
        <v>&lt;TR&gt;&lt;TD&gt;45&lt;TD width=200&gt;Kotásková Julie (TJ Mikulčice)&lt;TD&gt;0:3&lt;TD&gt;3:0&lt;TD&gt;XXX&lt;TD&gt;3:0&lt;TD&gt;5&lt;TD&gt;2&lt;/TD&gt;&lt;/TR&gt;</v>
      </c>
      <c r="AP21" s="123" t="str">
        <f>CONCATENATE("&lt;TR&gt;&lt;TD&gt;",J21,"&lt;TD&gt;",K21,"&lt;/TD&gt;&lt;/TR&gt;")</f>
        <v>&lt;TR&gt;&lt;TD&gt;Struhárová Jana - Zídková Madlen&lt;TD&gt;3 : 0 (3,5,3)&lt;/TD&gt;&lt;/TR&gt;</v>
      </c>
    </row>
    <row r="22" spans="1:42" ht="16.5" customHeight="1" thickBot="1">
      <c r="A22" s="119">
        <v>54</v>
      </c>
      <c r="B22" s="33" t="str">
        <f>IF($A22="","",CONCATENATE(VLOOKUP($A22,sez!$A$2:$B$258,2)," (",VLOOKUP($A22,sez!$A$2:$E$259,4),")"))</f>
        <v>Konkolová Julie (Rousínovec)</v>
      </c>
      <c r="C22" s="37" t="str">
        <f>IF(Y18+Z18=0,"",CONCATENATE(Z18,":",Y18))</f>
        <v>0:3</v>
      </c>
      <c r="D22" s="30" t="str">
        <f>IF(Y22+Z22=0,"",CONCATENATE(Z22,":",Y22))</f>
        <v>1:3</v>
      </c>
      <c r="E22" s="30" t="str">
        <f>IF(Y20+Z20=0,"",CONCATENATE(Y20,":",Z20))</f>
        <v>0:3</v>
      </c>
      <c r="F22" s="31" t="s">
        <v>31</v>
      </c>
      <c r="G22" s="35">
        <f>IF(AF18+AE20+AF22=0,"",AF18+AE20+AF22)</f>
        <v>3</v>
      </c>
      <c r="H22" s="116">
        <v>4</v>
      </c>
      <c r="J22" s="25" t="str">
        <f t="shared" si="20"/>
        <v>Zídková Madlen - Konkolová Julie</v>
      </c>
      <c r="K22" s="25" t="str">
        <f t="shared" si="21"/>
        <v>3 : 1 (8,-7,6,7)</v>
      </c>
      <c r="M22" s="122" t="str">
        <f>CONCATENATE("1.st. ",úvod!$C$8," - ",M17)</f>
        <v>1.st. U13 - Skupina C</v>
      </c>
      <c r="N22" s="122">
        <f>A20</f>
        <v>50</v>
      </c>
      <c r="O22" s="122" t="str">
        <f>IF($N22=0,"----------",VLOOKUP($N22,sez!$A$2:$C$258,2))</f>
        <v>Zídková Madlen</v>
      </c>
      <c r="P22" s="122" t="str">
        <f>IF($N22=0,"",VLOOKUP($N22,sez!$A$2:$D$258,4))</f>
        <v>MSK Břeclav</v>
      </c>
      <c r="Q22" s="122">
        <f>A22</f>
        <v>54</v>
      </c>
      <c r="R22" s="122" t="str">
        <f>IF($Q22=0,"----------",VLOOKUP($Q22,sez!$A$2:$C$258,2))</f>
        <v>Konkolová Julie</v>
      </c>
      <c r="S22" s="122" t="str">
        <f>IF($Q22=0,"",VLOOKUP($Q22,sez!$A$2:$D$258,4))</f>
        <v>Rousínovec</v>
      </c>
      <c r="T22" s="57" t="s">
        <v>130</v>
      </c>
      <c r="U22" s="58" t="s">
        <v>124</v>
      </c>
      <c r="V22" s="58" t="s">
        <v>131</v>
      </c>
      <c r="W22" s="58" t="s">
        <v>134</v>
      </c>
      <c r="X22" s="59"/>
      <c r="Y22" s="25">
        <f t="shared" si="22"/>
        <v>3</v>
      </c>
      <c r="Z22" s="25">
        <f t="shared" si="23"/>
        <v>1</v>
      </c>
      <c r="AA22" s="25">
        <f t="shared" si="24"/>
        <v>50</v>
      </c>
      <c r="AB22" s="25" t="str">
        <f>IF($AA22=0,"",VLOOKUP($AA22,sez!$A$2:$C$258,2))</f>
        <v>Zídková Madlen</v>
      </c>
      <c r="AC22" s="25" t="str">
        <f t="shared" si="25"/>
        <v>3:1 (8,-7,6,7)</v>
      </c>
      <c r="AD22" s="123" t="str">
        <f t="shared" si="26"/>
        <v>3:1 (8,-7,6,7)</v>
      </c>
      <c r="AE22" s="123">
        <f t="shared" si="27"/>
        <v>2</v>
      </c>
      <c r="AF22" s="123">
        <f t="shared" si="28"/>
        <v>1</v>
      </c>
      <c r="AH22" s="123">
        <f t="shared" si="29"/>
        <v>1</v>
      </c>
      <c r="AI22" s="123">
        <f t="shared" si="29"/>
        <v>-1</v>
      </c>
      <c r="AJ22" s="123">
        <f t="shared" si="29"/>
        <v>1</v>
      </c>
      <c r="AK22" s="123">
        <f t="shared" si="29"/>
        <v>1</v>
      </c>
      <c r="AL22" s="123">
        <f t="shared" si="29"/>
        <v>0</v>
      </c>
      <c r="AN22" s="123" t="str">
        <f>CONCATENATE("&lt;/Table&gt;&lt;/TD&gt;&lt;/TR&gt;&lt;/Table&gt;&lt;P&gt;")</f>
        <v>&lt;/Table&gt;&lt;/TD&gt;&lt;/TR&gt;&lt;/Table&gt;&lt;P&gt;</v>
      </c>
      <c r="AO22" s="123" t="str">
        <f>CONCATENATE("&lt;TR&gt;&lt;TD&gt;",A22,"&lt;TD width=200&gt;",B22,"&lt;TD&gt;",C22,"&lt;TD&gt;",D22,"&lt;TD&gt;",E22,"&lt;TD&gt;",F22,"&lt;TD&gt;",G22,"&lt;TD&gt;",H22,"&lt;/TD&gt;&lt;/TR&gt;")</f>
        <v>&lt;TR&gt;&lt;TD&gt;54&lt;TD width=200&gt;Konkolová Julie (Rousínovec)&lt;TD&gt;0:3&lt;TD&gt;1:3&lt;TD&gt;0:3&lt;TD&gt;XXX&lt;TD&gt;3&lt;TD&gt;4&lt;/TD&gt;&lt;/TR&gt;</v>
      </c>
      <c r="AP22" s="123" t="str">
        <f>CONCATENATE("&lt;TR&gt;&lt;TD&gt;",J22,"&lt;TD&gt;",K22,"&lt;/TD&gt;&lt;/TR&gt;")</f>
        <v>&lt;TR&gt;&lt;TD&gt;Zídková Madlen - Konkolová Julie&lt;TD&gt;3 : 1 (8,-7,6,7)&lt;/TD&gt;&lt;/TR&gt;</v>
      </c>
    </row>
    <row r="23" spans="10:42" ht="16.5" customHeight="1" thickBot="1" thickTop="1">
      <c r="J23" s="25" t="str">
        <f t="shared" si="20"/>
        <v>Kotásková Julie - Struhárová Jana</v>
      </c>
      <c r="K23" s="25" t="str">
        <f t="shared" si="21"/>
        <v>0 : 3 (-5,-6,-6)</v>
      </c>
      <c r="M23" s="122" t="str">
        <f>CONCATENATE("1.st. ",úvod!$C$8," - ",M17)</f>
        <v>1.st. U13 - Skupina C</v>
      </c>
      <c r="N23" s="122">
        <f>A21</f>
        <v>45</v>
      </c>
      <c r="O23" s="122" t="str">
        <f>IF($N23=0,"----------",VLOOKUP($N23,sez!$A$2:$C$258,2))</f>
        <v>Kotásková Julie</v>
      </c>
      <c r="P23" s="122" t="str">
        <f>IF($N23=0,"",VLOOKUP($N23,sez!$A$2:$D$258,4))</f>
        <v>TJ Mikulčice</v>
      </c>
      <c r="Q23" s="122">
        <f>A19</f>
        <v>43</v>
      </c>
      <c r="R23" s="122" t="str">
        <f>IF($Q23=0,"----------",VLOOKUP($Q23,sez!$A$2:$C$258,2))</f>
        <v>Struhárová Jana</v>
      </c>
      <c r="S23" s="122" t="str">
        <f>IF($Q23=0,"",VLOOKUP($Q23,sez!$A$2:$D$258,4))</f>
        <v>MSK Břeclav</v>
      </c>
      <c r="T23" s="60" t="s">
        <v>135</v>
      </c>
      <c r="U23" s="61" t="s">
        <v>137</v>
      </c>
      <c r="V23" s="61" t="s">
        <v>137</v>
      </c>
      <c r="W23" s="61"/>
      <c r="X23" s="62"/>
      <c r="Y23" s="25">
        <f t="shared" si="22"/>
        <v>0</v>
      </c>
      <c r="Z23" s="25">
        <f t="shared" si="23"/>
        <v>3</v>
      </c>
      <c r="AA23" s="25">
        <f t="shared" si="24"/>
        <v>43</v>
      </c>
      <c r="AB23" s="25" t="str">
        <f>IF($AA23=0,"",VLOOKUP($AA23,sez!$A$2:$C$258,2))</f>
        <v>Struhárová Jana</v>
      </c>
      <c r="AC23" s="25" t="str">
        <f t="shared" si="25"/>
        <v>3:0 (5,6,6)</v>
      </c>
      <c r="AD23" s="123" t="str">
        <f t="shared" si="26"/>
        <v>3:0 (5,6,6)</v>
      </c>
      <c r="AE23" s="123">
        <f t="shared" si="27"/>
        <v>1</v>
      </c>
      <c r="AF23" s="123">
        <f t="shared" si="28"/>
        <v>2</v>
      </c>
      <c r="AH23" s="123">
        <f t="shared" si="29"/>
        <v>-1</v>
      </c>
      <c r="AI23" s="123">
        <f t="shared" si="29"/>
        <v>-1</v>
      </c>
      <c r="AJ23" s="123">
        <f t="shared" si="29"/>
        <v>-1</v>
      </c>
      <c r="AK23" s="123">
        <f t="shared" si="29"/>
        <v>0</v>
      </c>
      <c r="AL23" s="123">
        <f t="shared" si="29"/>
        <v>0</v>
      </c>
      <c r="AP23" s="123" t="str">
        <f>CONCATENATE("&lt;TR&gt;&lt;TD&gt;",J23,"&lt;TD&gt;",K23,"&lt;/TD&gt;&lt;/TR&gt;")</f>
        <v>&lt;TR&gt;&lt;TD&gt;Kotásková Julie - Struhárová Jana&lt;TD&gt;0 : 3 (-5,-6,-6)&lt;/TD&gt;&lt;/TR&gt;</v>
      </c>
    </row>
    <row r="24" spans="13:40" ht="16.5" customHeight="1" thickBot="1" thickTop="1">
      <c r="M24" s="26" t="str">
        <f>B25</f>
        <v>Skupina D</v>
      </c>
      <c r="N24" s="26" t="s">
        <v>0</v>
      </c>
      <c r="O24" s="26" t="s">
        <v>1</v>
      </c>
      <c r="P24" s="26" t="s">
        <v>2</v>
      </c>
      <c r="Q24" s="26" t="s">
        <v>0</v>
      </c>
      <c r="R24" s="26" t="s">
        <v>3</v>
      </c>
      <c r="S24" s="26" t="s">
        <v>2</v>
      </c>
      <c r="T24" s="27" t="s">
        <v>4</v>
      </c>
      <c r="U24" s="27" t="s">
        <v>5</v>
      </c>
      <c r="V24" s="27" t="s">
        <v>6</v>
      </c>
      <c r="W24" s="27" t="s">
        <v>7</v>
      </c>
      <c r="X24" s="27" t="s">
        <v>8</v>
      </c>
      <c r="Y24" s="26" t="s">
        <v>9</v>
      </c>
      <c r="Z24" s="26" t="s">
        <v>10</v>
      </c>
      <c r="AA24" s="26" t="s">
        <v>11</v>
      </c>
      <c r="AN24" s="123" t="s">
        <v>18</v>
      </c>
    </row>
    <row r="25" spans="1:42" ht="16.5" customHeight="1" thickBot="1" thickTop="1">
      <c r="A25" s="43"/>
      <c r="B25" s="44" t="s">
        <v>23</v>
      </c>
      <c r="C25" s="45">
        <v>1</v>
      </c>
      <c r="D25" s="46">
        <v>2</v>
      </c>
      <c r="E25" s="46">
        <v>3</v>
      </c>
      <c r="F25" s="47">
        <v>4</v>
      </c>
      <c r="G25" s="48" t="s">
        <v>16</v>
      </c>
      <c r="H25" s="47" t="s">
        <v>17</v>
      </c>
      <c r="J25" s="25" t="str">
        <f aca="true" t="shared" si="30" ref="J25:J30">CONCATENATE(O25," - ",R25)</f>
        <v>Machová Adélka - Trávníčková Eliška</v>
      </c>
      <c r="K25" s="25" t="str">
        <f aca="true" t="shared" si="31" ref="K25:K30">IF(SUM(Y25:Z25)=0,AD25,CONCATENATE(Y25," : ",Z25," (",T25,",",U25,",",V25,IF(Y25+Z25&gt;3,",",""),W25,IF(Y25+Z25&gt;4,",",""),X25,")"))</f>
        <v>3 : 0 (5,6,3)</v>
      </c>
      <c r="M25" s="122" t="str">
        <f>CONCATENATE("1.st. ",úvod!$C$8," - ",M24)</f>
        <v>1.st. U13 - Skupina D</v>
      </c>
      <c r="N25" s="122">
        <f>A26</f>
        <v>44</v>
      </c>
      <c r="O25" s="122" t="str">
        <f>IF($N25=0,"----------",VLOOKUP($N25,sez!$A$2:$C$258,2))</f>
        <v>Machová Adélka</v>
      </c>
      <c r="P25" s="122" t="str">
        <f>IF($N25=0,"",VLOOKUP($N25,sez!$A$2:$D$258,4))</f>
        <v>STP Mikulov</v>
      </c>
      <c r="Q25" s="122">
        <f>A29</f>
        <v>55</v>
      </c>
      <c r="R25" s="122" t="str">
        <f>IF($Q25=0,"----------",VLOOKUP($Q25,sez!$A$2:$C$258,2))</f>
        <v>Trávníčková Eliška</v>
      </c>
      <c r="S25" s="122" t="str">
        <f>IF($Q25=0,"",VLOOKUP($Q25,sez!$A$2:$D$258,4))</f>
        <v>TJ Brno-Bystrc</v>
      </c>
      <c r="T25" s="54" t="s">
        <v>123</v>
      </c>
      <c r="U25" s="55" t="s">
        <v>131</v>
      </c>
      <c r="V25" s="55" t="s">
        <v>132</v>
      </c>
      <c r="W25" s="55"/>
      <c r="X25" s="56"/>
      <c r="Y25" s="25">
        <f aca="true" t="shared" si="32" ref="Y25:Y30">COUNTIF(AH25:AL25,"&gt;0")</f>
        <v>3</v>
      </c>
      <c r="Z25" s="25">
        <f aca="true" t="shared" si="33" ref="Z25:Z30">COUNTIF(AH25:AL25,"&lt;0")</f>
        <v>0</v>
      </c>
      <c r="AA25" s="25">
        <f aca="true" t="shared" si="34" ref="AA25:AA30">IF(Y25=Z25,0,IF(Y25&gt;Z25,N25,Q25))</f>
        <v>44</v>
      </c>
      <c r="AB25" s="25" t="str">
        <f>IF($AA25=0,"",VLOOKUP($AA25,sez!$A$2:$C$258,2))</f>
        <v>Machová Adélka</v>
      </c>
      <c r="AC25" s="25" t="str">
        <f aca="true" t="shared" si="35" ref="AC25:AC30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>3:0 (5,6,3)</v>
      </c>
      <c r="AD25" s="123" t="str">
        <f aca="true" t="shared" si="36" ref="AD25:AD30">IF(SUM(Y25:Z25)=0,"",AC25)</f>
        <v>3:0 (5,6,3)</v>
      </c>
      <c r="AE25" s="123">
        <f aca="true" t="shared" si="37" ref="AE25:AE30">IF(T25="",0,IF(Y25&gt;Z25,2,1))</f>
        <v>2</v>
      </c>
      <c r="AF25" s="123">
        <f aca="true" t="shared" si="38" ref="AF25:AF30">IF(T25="",0,IF(Z25&gt;Y25,2,1))</f>
        <v>1</v>
      </c>
      <c r="AH25" s="123">
        <f aca="true" t="shared" si="39" ref="AH25:AL30">IF(T25="",0,IF(MID(T25,1,1)="-",-1,1))</f>
        <v>1</v>
      </c>
      <c r="AI25" s="123">
        <f t="shared" si="39"/>
        <v>1</v>
      </c>
      <c r="AJ25" s="123">
        <f t="shared" si="39"/>
        <v>1</v>
      </c>
      <c r="AK25" s="123">
        <f t="shared" si="39"/>
        <v>0</v>
      </c>
      <c r="AL25" s="123">
        <f t="shared" si="39"/>
        <v>0</v>
      </c>
      <c r="AN25" s="123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P25" s="123" t="str">
        <f>CONCATENATE("&lt;TR&gt;&lt;TD width=250&gt;",J25,"&lt;TD&gt;",K25,"&lt;/TD&gt;&lt;/TR&gt;")</f>
        <v>&lt;TR&gt;&lt;TD width=250&gt;Machová Adélka - Trávníčková Eliška&lt;TD&gt;3 : 0 (5,6,3)&lt;/TD&gt;&lt;/TR&gt;</v>
      </c>
    </row>
    <row r="26" spans="1:42" ht="16.5" customHeight="1" thickTop="1">
      <c r="A26" s="117">
        <v>44</v>
      </c>
      <c r="B26" s="38" t="str">
        <f>IF($A26="","",CONCATENATE(VLOOKUP($A26,sez!$A$2:$B$258,2)," (",VLOOKUP($A26,sez!$A$2:$E$259,4),")"))</f>
        <v>Machová Adélka (STP Mikulov)</v>
      </c>
      <c r="C26" s="39" t="s">
        <v>31</v>
      </c>
      <c r="D26" s="40" t="str">
        <f>IF(Y28+Z28=0,"",CONCATENATE(Y28,":",Z28))</f>
        <v>3:0</v>
      </c>
      <c r="E26" s="40" t="str">
        <f>IF(Y30+Z30=0,"",CONCATENATE(Z30,":",Y30))</f>
        <v>3:0</v>
      </c>
      <c r="F26" s="41" t="str">
        <f>IF(Y25+Z25=0,"",CONCATENATE(Y25,":",Z25))</f>
        <v>3:0</v>
      </c>
      <c r="G26" s="42">
        <f>IF(AE25+AE28+AF30=0,"",AE25+AE28+AF30)</f>
        <v>6</v>
      </c>
      <c r="H26" s="114">
        <v>1</v>
      </c>
      <c r="J26" s="25" t="str">
        <f t="shared" si="30"/>
        <v>Svobodová Kristýna - Zechmeisterová Rebeka</v>
      </c>
      <c r="K26" s="25" t="str">
        <f t="shared" si="31"/>
        <v>0 : 3 (-3,-3,-2)</v>
      </c>
      <c r="M26" s="122" t="str">
        <f>CONCATENATE("1.st. ",úvod!$C$8," - ",M24)</f>
        <v>1.st. U13 - Skupina D</v>
      </c>
      <c r="N26" s="122">
        <f>A27</f>
        <v>52</v>
      </c>
      <c r="O26" s="122" t="str">
        <f>IF($N26=0,"----------",VLOOKUP($N26,sez!$A$2:$C$258,2))</f>
        <v>Svobodová Kristýna</v>
      </c>
      <c r="P26" s="122" t="str">
        <f>IF($N26=0,"",VLOOKUP($N26,sez!$A$2:$D$258,4))</f>
        <v>TJ Jiskra Strážnice</v>
      </c>
      <c r="Q26" s="122">
        <f>A28</f>
        <v>47</v>
      </c>
      <c r="R26" s="122" t="str">
        <f>IF($Q26=0,"----------",VLOOKUP($Q26,sez!$A$2:$C$258,2))</f>
        <v>Zechmeisterová Rebeka</v>
      </c>
      <c r="S26" s="122" t="str">
        <f>IF($Q26=0,"",VLOOKUP($Q26,sez!$A$2:$D$258,4))</f>
        <v>KST FOSFA LVA</v>
      </c>
      <c r="T26" s="57" t="s">
        <v>125</v>
      </c>
      <c r="U26" s="58" t="s">
        <v>125</v>
      </c>
      <c r="V26" s="58" t="s">
        <v>141</v>
      </c>
      <c r="W26" s="58"/>
      <c r="X26" s="59"/>
      <c r="Y26" s="25">
        <f t="shared" si="32"/>
        <v>0</v>
      </c>
      <c r="Z26" s="25">
        <f t="shared" si="33"/>
        <v>3</v>
      </c>
      <c r="AA26" s="25">
        <f t="shared" si="34"/>
        <v>47</v>
      </c>
      <c r="AB26" s="25" t="str">
        <f>IF($AA26=0,"",VLOOKUP($AA26,sez!$A$2:$C$258,2))</f>
        <v>Zechmeisterová Rebeka</v>
      </c>
      <c r="AC26" s="25" t="str">
        <f t="shared" si="35"/>
        <v>3:0 (3,3,2)</v>
      </c>
      <c r="AD26" s="123" t="str">
        <f t="shared" si="36"/>
        <v>3:0 (3,3,2)</v>
      </c>
      <c r="AE26" s="123">
        <f t="shared" si="37"/>
        <v>1</v>
      </c>
      <c r="AF26" s="123">
        <f t="shared" si="38"/>
        <v>2</v>
      </c>
      <c r="AH26" s="123">
        <f t="shared" si="39"/>
        <v>-1</v>
      </c>
      <c r="AI26" s="123">
        <f t="shared" si="39"/>
        <v>-1</v>
      </c>
      <c r="AJ26" s="123">
        <f t="shared" si="39"/>
        <v>-1</v>
      </c>
      <c r="AK26" s="123">
        <f t="shared" si="39"/>
        <v>0</v>
      </c>
      <c r="AL26" s="123">
        <f t="shared" si="39"/>
        <v>0</v>
      </c>
      <c r="AN26" s="123" t="str">
        <f>CONCATENATE(AO26,AO27,AO28,AO29,)</f>
        <v>&lt;TR&gt;&lt;TD&gt;44&lt;TD width=200&gt;Machová Adélka (STP Mikulov)&lt;TD&gt;XXX&lt;TD&gt;3:0&lt;TD&gt;3:0&lt;TD&gt;3:0&lt;TD&gt;6&lt;TD&gt;1&lt;/TD&gt;&lt;/TR&gt;&lt;TR&gt;&lt;TD&gt;52&lt;TD width=200&gt;Svobodová Kristýna (TJ Jiskra Strážnice)&lt;TD&gt;0:3&lt;TD&gt;XXX&lt;TD&gt;0:3&lt;TD&gt;0:3&lt;TD&gt;3&lt;TD&gt;4&lt;/TD&gt;&lt;/TR&gt;&lt;TR&gt;&lt;TD&gt;47&lt;TD width=200&gt;Zechmeisterová Rebeka (KST FOSFA LVA)&lt;TD&gt;0:3&lt;TD&gt;3:0&lt;TD&gt;XXX&lt;TD&gt;3:2&lt;TD&gt;5&lt;TD&gt;2&lt;/TD&gt;&lt;/TR&gt;&lt;TR&gt;&lt;TD&gt;55&lt;TD width=200&gt;Trávníčková Eliška (TJ Brno-Bystrc)&lt;TD&gt;0:3&lt;TD&gt;3:0&lt;TD&gt;2:3&lt;TD&gt;XXX&lt;TD&gt;4&lt;TD&gt;3&lt;/TD&gt;&lt;/TR&gt;</v>
      </c>
      <c r="AO26" s="123" t="str">
        <f>CONCATENATE("&lt;TR&gt;&lt;TD&gt;",A26,"&lt;TD width=200&gt;",B26,"&lt;TD&gt;",C26,"&lt;TD&gt;",D26,"&lt;TD&gt;",E26,"&lt;TD&gt;",F26,"&lt;TD&gt;",G26,"&lt;TD&gt;",H26,"&lt;/TD&gt;&lt;/TR&gt;")</f>
        <v>&lt;TR&gt;&lt;TD&gt;44&lt;TD width=200&gt;Machová Adélka (STP Mikulov)&lt;TD&gt;XXX&lt;TD&gt;3:0&lt;TD&gt;3:0&lt;TD&gt;3:0&lt;TD&gt;6&lt;TD&gt;1&lt;/TD&gt;&lt;/TR&gt;</v>
      </c>
      <c r="AP26" s="123" t="str">
        <f>CONCATENATE("&lt;TR&gt;&lt;TD&gt;",J26,"&lt;TD&gt;",K26,"&lt;/TD&gt;&lt;/TR&gt;")</f>
        <v>&lt;TR&gt;&lt;TD&gt;Svobodová Kristýna - Zechmeisterová Rebeka&lt;TD&gt;0 : 3 (-3,-3,-2)&lt;/TD&gt;&lt;/TR&gt;</v>
      </c>
    </row>
    <row r="27" spans="1:42" ht="16.5" customHeight="1">
      <c r="A27" s="118">
        <v>52</v>
      </c>
      <c r="B27" s="32" t="str">
        <f>IF($A27="","",CONCATENATE(VLOOKUP($A27,sez!$A$2:$B$258,2)," (",VLOOKUP($A27,sez!$A$2:$E$259,4),")"))</f>
        <v>Svobodová Kristýna (TJ Jiskra Strážnice)</v>
      </c>
      <c r="C27" s="36" t="str">
        <f>IF(Y28+Z28=0,"",CONCATENATE(Z28,":",Y28))</f>
        <v>0:3</v>
      </c>
      <c r="D27" s="28" t="s">
        <v>31</v>
      </c>
      <c r="E27" s="28" t="str">
        <f>IF(Y26+Z26=0,"",CONCATENATE(Y26,":",Z26))</f>
        <v>0:3</v>
      </c>
      <c r="F27" s="29" t="str">
        <f>IF(Y29+Z29=0,"",CONCATENATE(Y29,":",Z29))</f>
        <v>0:3</v>
      </c>
      <c r="G27" s="34">
        <f>IF(AE26+AF28+AE29=0,"",AE26+AF28+AE29)</f>
        <v>3</v>
      </c>
      <c r="H27" s="115">
        <v>4</v>
      </c>
      <c r="J27" s="25" t="str">
        <f t="shared" si="30"/>
        <v>Trávníčková Eliška - Zechmeisterová Rebeka</v>
      </c>
      <c r="K27" s="25" t="str">
        <f t="shared" si="31"/>
        <v>2 : 3 (4,-5,9,-5,-8)</v>
      </c>
      <c r="M27" s="122" t="str">
        <f>CONCATENATE("1.st. ",úvod!$C$8," - ",M24)</f>
        <v>1.st. U13 - Skupina D</v>
      </c>
      <c r="N27" s="122">
        <f>A29</f>
        <v>55</v>
      </c>
      <c r="O27" s="122" t="str">
        <f>IF($N27=0,"----------",VLOOKUP($N27,sez!$A$2:$C$258,2))</f>
        <v>Trávníčková Eliška</v>
      </c>
      <c r="P27" s="122" t="str">
        <f>IF($N27=0,"",VLOOKUP($N27,sez!$A$2:$D$258,4))</f>
        <v>TJ Brno-Bystrc</v>
      </c>
      <c r="Q27" s="122">
        <f>A28</f>
        <v>47</v>
      </c>
      <c r="R27" s="122" t="str">
        <f>IF($Q27=0,"----------",VLOOKUP($Q27,sez!$A$2:$C$258,2))</f>
        <v>Zechmeisterová Rebeka</v>
      </c>
      <c r="S27" s="122" t="str">
        <f>IF($Q27=0,"",VLOOKUP($Q27,sez!$A$2:$D$258,4))</f>
        <v>KST FOSFA LVA</v>
      </c>
      <c r="T27" s="57" t="s">
        <v>129</v>
      </c>
      <c r="U27" s="58" t="s">
        <v>135</v>
      </c>
      <c r="V27" s="58" t="s">
        <v>121</v>
      </c>
      <c r="W27" s="58" t="s">
        <v>135</v>
      </c>
      <c r="X27" s="59" t="s">
        <v>133</v>
      </c>
      <c r="Y27" s="25">
        <f t="shared" si="32"/>
        <v>2</v>
      </c>
      <c r="Z27" s="25">
        <f t="shared" si="33"/>
        <v>3</v>
      </c>
      <c r="AA27" s="25">
        <f t="shared" si="34"/>
        <v>47</v>
      </c>
      <c r="AB27" s="25" t="str">
        <f>IF($AA27=0,"",VLOOKUP($AA27,sez!$A$2:$C$258,2))</f>
        <v>Zechmeisterová Rebeka</v>
      </c>
      <c r="AC27" s="25" t="str">
        <f t="shared" si="35"/>
        <v>3:2 (-4,5,-9,5,8)</v>
      </c>
      <c r="AD27" s="123" t="str">
        <f t="shared" si="36"/>
        <v>3:2 (-4,5,-9,5,8)</v>
      </c>
      <c r="AE27" s="123">
        <f t="shared" si="37"/>
        <v>1</v>
      </c>
      <c r="AF27" s="123">
        <f t="shared" si="38"/>
        <v>2</v>
      </c>
      <c r="AH27" s="123">
        <f t="shared" si="39"/>
        <v>1</v>
      </c>
      <c r="AI27" s="123">
        <f t="shared" si="39"/>
        <v>-1</v>
      </c>
      <c r="AJ27" s="123">
        <f t="shared" si="39"/>
        <v>1</v>
      </c>
      <c r="AK27" s="123">
        <f t="shared" si="39"/>
        <v>-1</v>
      </c>
      <c r="AL27" s="123">
        <f t="shared" si="39"/>
        <v>-1</v>
      </c>
      <c r="AN27" s="123" t="str">
        <f>CONCATENATE("&lt;/Table&gt;&lt;TD width=420&gt;&lt;Table&gt;")</f>
        <v>&lt;/Table&gt;&lt;TD width=420&gt;&lt;Table&gt;</v>
      </c>
      <c r="AO27" s="123" t="str">
        <f>CONCATENATE("&lt;TR&gt;&lt;TD&gt;",A27,"&lt;TD width=200&gt;",B27,"&lt;TD&gt;",C27,"&lt;TD&gt;",D27,"&lt;TD&gt;",E27,"&lt;TD&gt;",F27,"&lt;TD&gt;",G27,"&lt;TD&gt;",H27,"&lt;/TD&gt;&lt;/TR&gt;")</f>
        <v>&lt;TR&gt;&lt;TD&gt;52&lt;TD width=200&gt;Svobodová Kristýna (TJ Jiskra Strážnice)&lt;TD&gt;0:3&lt;TD&gt;XXX&lt;TD&gt;0:3&lt;TD&gt;0:3&lt;TD&gt;3&lt;TD&gt;4&lt;/TD&gt;&lt;/TR&gt;</v>
      </c>
      <c r="AP27" s="123" t="str">
        <f>CONCATENATE("&lt;TR&gt;&lt;TD&gt;",J27,"&lt;TD&gt;",K27,"&lt;/TD&gt;&lt;/TR&gt;")</f>
        <v>&lt;TR&gt;&lt;TD&gt;Trávníčková Eliška - Zechmeisterová Rebeka&lt;TD&gt;2 : 3 (4,-5,9,-5,-8)&lt;/TD&gt;&lt;/TR&gt;</v>
      </c>
    </row>
    <row r="28" spans="1:42" ht="16.5" customHeight="1">
      <c r="A28" s="118">
        <v>47</v>
      </c>
      <c r="B28" s="32" t="str">
        <f>IF($A28="","",CONCATENATE(VLOOKUP($A28,sez!$A$2:$B$258,2)," (",VLOOKUP($A28,sez!$A$2:$E$259,4),")"))</f>
        <v>Zechmeisterová Rebeka (KST FOSFA LVA)</v>
      </c>
      <c r="C28" s="36" t="str">
        <f>IF(Y30+Z30=0,"",CONCATENATE(Y30,":",Z30))</f>
        <v>0:3</v>
      </c>
      <c r="D28" s="28" t="str">
        <f>IF(Y26+Z26=0,"",CONCATENATE(Z26,":",Y26))</f>
        <v>3:0</v>
      </c>
      <c r="E28" s="28" t="s">
        <v>31</v>
      </c>
      <c r="F28" s="29" t="str">
        <f>IF(Y27+Z27=0,"",CONCATENATE(Z27,":",Y27))</f>
        <v>3:2</v>
      </c>
      <c r="G28" s="34">
        <f>IF(AF26+AF27+AE30=0,"",AF26+AF27+AE30)</f>
        <v>5</v>
      </c>
      <c r="H28" s="115">
        <v>2</v>
      </c>
      <c r="J28" s="25" t="str">
        <f t="shared" si="30"/>
        <v>Machová Adélka - Svobodová Kristýna</v>
      </c>
      <c r="K28" s="25" t="str">
        <f t="shared" si="31"/>
        <v>3 : 0 (2,4,1)</v>
      </c>
      <c r="M28" s="122" t="str">
        <f>CONCATENATE("1.st. ",úvod!$C$8," - ",M24)</f>
        <v>1.st. U13 - Skupina D</v>
      </c>
      <c r="N28" s="122">
        <f>A26</f>
        <v>44</v>
      </c>
      <c r="O28" s="122" t="str">
        <f>IF($N28=0,"----------",VLOOKUP($N28,sez!$A$2:$C$258,2))</f>
        <v>Machová Adélka</v>
      </c>
      <c r="P28" s="122" t="str">
        <f>IF($N28=0,"",VLOOKUP($N28,sez!$A$2:$D$258,4))</f>
        <v>STP Mikulov</v>
      </c>
      <c r="Q28" s="122">
        <f>A27</f>
        <v>52</v>
      </c>
      <c r="R28" s="122" t="str">
        <f>IF($Q28=0,"----------",VLOOKUP($Q28,sez!$A$2:$C$258,2))</f>
        <v>Svobodová Kristýna</v>
      </c>
      <c r="S28" s="122" t="str">
        <f>IF($Q28=0,"",VLOOKUP($Q28,sez!$A$2:$D$258,4))</f>
        <v>TJ Jiskra Strážnice</v>
      </c>
      <c r="T28" s="57" t="s">
        <v>128</v>
      </c>
      <c r="U28" s="58" t="s">
        <v>129</v>
      </c>
      <c r="V28" s="58" t="s">
        <v>136</v>
      </c>
      <c r="W28" s="58"/>
      <c r="X28" s="59"/>
      <c r="Y28" s="25">
        <f t="shared" si="32"/>
        <v>3</v>
      </c>
      <c r="Z28" s="25">
        <f t="shared" si="33"/>
        <v>0</v>
      </c>
      <c r="AA28" s="25">
        <f t="shared" si="34"/>
        <v>44</v>
      </c>
      <c r="AB28" s="25" t="str">
        <f>IF($AA28=0,"",VLOOKUP($AA28,sez!$A$2:$C$258,2))</f>
        <v>Machová Adélka</v>
      </c>
      <c r="AC28" s="25" t="str">
        <f t="shared" si="35"/>
        <v>3:0 (2,4,1)</v>
      </c>
      <c r="AD28" s="123" t="str">
        <f t="shared" si="36"/>
        <v>3:0 (2,4,1)</v>
      </c>
      <c r="AE28" s="123">
        <f t="shared" si="37"/>
        <v>2</v>
      </c>
      <c r="AF28" s="123">
        <f t="shared" si="38"/>
        <v>1</v>
      </c>
      <c r="AH28" s="123">
        <f t="shared" si="39"/>
        <v>1</v>
      </c>
      <c r="AI28" s="123">
        <f t="shared" si="39"/>
        <v>1</v>
      </c>
      <c r="AJ28" s="123">
        <f t="shared" si="39"/>
        <v>1</v>
      </c>
      <c r="AK28" s="123">
        <f t="shared" si="39"/>
        <v>0</v>
      </c>
      <c r="AL28" s="123">
        <f t="shared" si="39"/>
        <v>0</v>
      </c>
      <c r="AN28" s="123" t="str">
        <f>CONCATENATE(AP25,AP26,AP27,AP28,AP29,AP30,)</f>
        <v>&lt;TR&gt;&lt;TD width=250&gt;Machová Adélka - Trávníčková Eliška&lt;TD&gt;3 : 0 (5,6,3)&lt;/TD&gt;&lt;/TR&gt;&lt;TR&gt;&lt;TD&gt;Svobodová Kristýna - Zechmeisterová Rebeka&lt;TD&gt;0 : 3 (-3,-3,-2)&lt;/TD&gt;&lt;/TR&gt;&lt;TR&gt;&lt;TD&gt;Trávníčková Eliška - Zechmeisterová Rebeka&lt;TD&gt;2 : 3 (4,-5,9,-5,-8)&lt;/TD&gt;&lt;/TR&gt;&lt;TR&gt;&lt;TD&gt;Machová Adélka - Svobodová Kristýna&lt;TD&gt;3 : 0 (2,4,1)&lt;/TD&gt;&lt;/TR&gt;&lt;TR&gt;&lt;TD&gt;Svobodová Kristýna - Trávníčková Eliška&lt;TD&gt;0 : 3 (-3,-3,-2)&lt;/TD&gt;&lt;/TR&gt;&lt;TR&gt;&lt;TD&gt;Zechmeisterová Rebeka - Machová Adélka&lt;TD&gt;0 : 3 (-6,-3,-8)&lt;/TD&gt;&lt;/TR&gt;</v>
      </c>
      <c r="AO28" s="123" t="str">
        <f>CONCATENATE("&lt;TR&gt;&lt;TD&gt;",A28,"&lt;TD width=200&gt;",B28,"&lt;TD&gt;",C28,"&lt;TD&gt;",D28,"&lt;TD&gt;",E28,"&lt;TD&gt;",F28,"&lt;TD&gt;",G28,"&lt;TD&gt;",H28,"&lt;/TD&gt;&lt;/TR&gt;")</f>
        <v>&lt;TR&gt;&lt;TD&gt;47&lt;TD width=200&gt;Zechmeisterová Rebeka (KST FOSFA LVA)&lt;TD&gt;0:3&lt;TD&gt;3:0&lt;TD&gt;XXX&lt;TD&gt;3:2&lt;TD&gt;5&lt;TD&gt;2&lt;/TD&gt;&lt;/TR&gt;</v>
      </c>
      <c r="AP28" s="123" t="str">
        <f>CONCATENATE("&lt;TR&gt;&lt;TD&gt;",J28,"&lt;TD&gt;",K28,"&lt;/TD&gt;&lt;/TR&gt;")</f>
        <v>&lt;TR&gt;&lt;TD&gt;Machová Adélka - Svobodová Kristýna&lt;TD&gt;3 : 0 (2,4,1)&lt;/TD&gt;&lt;/TR&gt;</v>
      </c>
    </row>
    <row r="29" spans="1:42" ht="16.5" customHeight="1" thickBot="1">
      <c r="A29" s="119">
        <v>55</v>
      </c>
      <c r="B29" s="33" t="str">
        <f>IF($A29="","",CONCATENATE(VLOOKUP($A29,sez!$A$2:$B$258,2)," (",VLOOKUP($A29,sez!$A$2:$E$259,4),")"))</f>
        <v>Trávníčková Eliška (TJ Brno-Bystrc)</v>
      </c>
      <c r="C29" s="37" t="str">
        <f>IF(Y25+Z25=0,"",CONCATENATE(Z25,":",Y25))</f>
        <v>0:3</v>
      </c>
      <c r="D29" s="30" t="str">
        <f>IF(Y29+Z29=0,"",CONCATENATE(Z29,":",Y29))</f>
        <v>3:0</v>
      </c>
      <c r="E29" s="30" t="str">
        <f>IF(Y27+Z27=0,"",CONCATENATE(Y27,":",Z27))</f>
        <v>2:3</v>
      </c>
      <c r="F29" s="31" t="s">
        <v>31</v>
      </c>
      <c r="G29" s="35">
        <f>IF(AF25+AE27+AF29=0,"",AF25+AE27+AF29)</f>
        <v>4</v>
      </c>
      <c r="H29" s="116">
        <v>3</v>
      </c>
      <c r="J29" s="25" t="str">
        <f t="shared" si="30"/>
        <v>Svobodová Kristýna - Trávníčková Eliška</v>
      </c>
      <c r="K29" s="25" t="str">
        <f t="shared" si="31"/>
        <v>0 : 3 (-3,-3,-2)</v>
      </c>
      <c r="M29" s="122" t="str">
        <f>CONCATENATE("1.st. ",úvod!$C$8," - ",M24)</f>
        <v>1.st. U13 - Skupina D</v>
      </c>
      <c r="N29" s="122">
        <f>A27</f>
        <v>52</v>
      </c>
      <c r="O29" s="122" t="str">
        <f>IF($N29=0,"----------",VLOOKUP($N29,sez!$A$2:$C$258,2))</f>
        <v>Svobodová Kristýna</v>
      </c>
      <c r="P29" s="122" t="str">
        <f>IF($N29=0,"",VLOOKUP($N29,sez!$A$2:$D$258,4))</f>
        <v>TJ Jiskra Strážnice</v>
      </c>
      <c r="Q29" s="122">
        <f>A29</f>
        <v>55</v>
      </c>
      <c r="R29" s="122" t="str">
        <f>IF($Q29=0,"----------",VLOOKUP($Q29,sez!$A$2:$C$258,2))</f>
        <v>Trávníčková Eliška</v>
      </c>
      <c r="S29" s="122" t="str">
        <f>IF($Q29=0,"",VLOOKUP($Q29,sez!$A$2:$D$258,4))</f>
        <v>TJ Brno-Bystrc</v>
      </c>
      <c r="T29" s="57" t="s">
        <v>125</v>
      </c>
      <c r="U29" s="58" t="s">
        <v>125</v>
      </c>
      <c r="V29" s="58" t="s">
        <v>141</v>
      </c>
      <c r="W29" s="58"/>
      <c r="X29" s="59"/>
      <c r="Y29" s="25">
        <f t="shared" si="32"/>
        <v>0</v>
      </c>
      <c r="Z29" s="25">
        <f t="shared" si="33"/>
        <v>3</v>
      </c>
      <c r="AA29" s="25">
        <f t="shared" si="34"/>
        <v>55</v>
      </c>
      <c r="AB29" s="25" t="str">
        <f>IF($AA29=0,"",VLOOKUP($AA29,sez!$A$2:$C$258,2))</f>
        <v>Trávníčková Eliška</v>
      </c>
      <c r="AC29" s="25" t="str">
        <f t="shared" si="35"/>
        <v>3:0 (3,3,2)</v>
      </c>
      <c r="AD29" s="123" t="str">
        <f t="shared" si="36"/>
        <v>3:0 (3,3,2)</v>
      </c>
      <c r="AE29" s="123">
        <f t="shared" si="37"/>
        <v>1</v>
      </c>
      <c r="AF29" s="123">
        <f t="shared" si="38"/>
        <v>2</v>
      </c>
      <c r="AH29" s="123">
        <f t="shared" si="39"/>
        <v>-1</v>
      </c>
      <c r="AI29" s="123">
        <f t="shared" si="39"/>
        <v>-1</v>
      </c>
      <c r="AJ29" s="123">
        <f t="shared" si="39"/>
        <v>-1</v>
      </c>
      <c r="AK29" s="123">
        <f t="shared" si="39"/>
        <v>0</v>
      </c>
      <c r="AL29" s="123">
        <f t="shared" si="39"/>
        <v>0</v>
      </c>
      <c r="AN29" s="123" t="str">
        <f>CONCATENATE("&lt;/Table&gt;&lt;/TD&gt;&lt;/TR&gt;&lt;/Table&gt;&lt;P&gt;")</f>
        <v>&lt;/Table&gt;&lt;/TD&gt;&lt;/TR&gt;&lt;/Table&gt;&lt;P&gt;</v>
      </c>
      <c r="AO29" s="123" t="str">
        <f>CONCATENATE("&lt;TR&gt;&lt;TD&gt;",A29,"&lt;TD width=200&gt;",B29,"&lt;TD&gt;",C29,"&lt;TD&gt;",D29,"&lt;TD&gt;",E29,"&lt;TD&gt;",F29,"&lt;TD&gt;",G29,"&lt;TD&gt;",H29,"&lt;/TD&gt;&lt;/TR&gt;")</f>
        <v>&lt;TR&gt;&lt;TD&gt;55&lt;TD width=200&gt;Trávníčková Eliška (TJ Brno-Bystrc)&lt;TD&gt;0:3&lt;TD&gt;3:0&lt;TD&gt;2:3&lt;TD&gt;XXX&lt;TD&gt;4&lt;TD&gt;3&lt;/TD&gt;&lt;/TR&gt;</v>
      </c>
      <c r="AP29" s="123" t="str">
        <f>CONCATENATE("&lt;TR&gt;&lt;TD&gt;",J29,"&lt;TD&gt;",K29,"&lt;/TD&gt;&lt;/TR&gt;")</f>
        <v>&lt;TR&gt;&lt;TD&gt;Svobodová Kristýna - Trávníčková Eliška&lt;TD&gt;0 : 3 (-3,-3,-2)&lt;/TD&gt;&lt;/TR&gt;</v>
      </c>
    </row>
    <row r="30" spans="10:42" ht="16.5" customHeight="1" thickBot="1" thickTop="1">
      <c r="J30" s="25" t="str">
        <f t="shared" si="30"/>
        <v>Zechmeisterová Rebeka - Machová Adélka</v>
      </c>
      <c r="K30" s="25" t="str">
        <f t="shared" si="31"/>
        <v>0 : 3 (-6,-3,-8)</v>
      </c>
      <c r="M30" s="122" t="str">
        <f>CONCATENATE("1.st. ",úvod!$C$8," - ",M24)</f>
        <v>1.st. U13 - Skupina D</v>
      </c>
      <c r="N30" s="122">
        <f>A28</f>
        <v>47</v>
      </c>
      <c r="O30" s="122" t="str">
        <f>IF($N30=0,"----------",VLOOKUP($N30,sez!$A$2:$C$258,2))</f>
        <v>Zechmeisterová Rebeka</v>
      </c>
      <c r="P30" s="122" t="str">
        <f>IF($N30=0,"",VLOOKUP($N30,sez!$A$2:$D$258,4))</f>
        <v>KST FOSFA LVA</v>
      </c>
      <c r="Q30" s="122">
        <f>A26</f>
        <v>44</v>
      </c>
      <c r="R30" s="122" t="str">
        <f>IF($Q30=0,"----------",VLOOKUP($Q30,sez!$A$2:$C$258,2))</f>
        <v>Machová Adélka</v>
      </c>
      <c r="S30" s="122" t="str">
        <f>IF($Q30=0,"",VLOOKUP($Q30,sez!$A$2:$D$258,4))</f>
        <v>STP Mikulov</v>
      </c>
      <c r="T30" s="60" t="s">
        <v>137</v>
      </c>
      <c r="U30" s="61" t="s">
        <v>125</v>
      </c>
      <c r="V30" s="61" t="s">
        <v>133</v>
      </c>
      <c r="W30" s="61"/>
      <c r="X30" s="62"/>
      <c r="Y30" s="25">
        <f t="shared" si="32"/>
        <v>0</v>
      </c>
      <c r="Z30" s="25">
        <f t="shared" si="33"/>
        <v>3</v>
      </c>
      <c r="AA30" s="25">
        <f t="shared" si="34"/>
        <v>44</v>
      </c>
      <c r="AB30" s="25" t="str">
        <f>IF($AA30=0,"",VLOOKUP($AA30,sez!$A$2:$C$258,2))</f>
        <v>Machová Adélka</v>
      </c>
      <c r="AC30" s="25" t="str">
        <f t="shared" si="35"/>
        <v>3:0 (6,3,8)</v>
      </c>
      <c r="AD30" s="123" t="str">
        <f t="shared" si="36"/>
        <v>3:0 (6,3,8)</v>
      </c>
      <c r="AE30" s="123">
        <f t="shared" si="37"/>
        <v>1</v>
      </c>
      <c r="AF30" s="123">
        <f t="shared" si="38"/>
        <v>2</v>
      </c>
      <c r="AH30" s="123">
        <f t="shared" si="39"/>
        <v>-1</v>
      </c>
      <c r="AI30" s="123">
        <f t="shared" si="39"/>
        <v>-1</v>
      </c>
      <c r="AJ30" s="123">
        <f t="shared" si="39"/>
        <v>-1</v>
      </c>
      <c r="AK30" s="123">
        <f t="shared" si="39"/>
        <v>0</v>
      </c>
      <c r="AL30" s="123">
        <f t="shared" si="39"/>
        <v>0</v>
      </c>
      <c r="AP30" s="123" t="str">
        <f>CONCATENATE("&lt;TR&gt;&lt;TD&gt;",J30,"&lt;TD&gt;",K30,"&lt;/TD&gt;&lt;/TR&gt;")</f>
        <v>&lt;TR&gt;&lt;TD&gt;Zechmeisterová Rebeka - Machová Adélka&lt;TD&gt;0 : 3 (-6,-3,-8)&lt;/TD&gt;&lt;/TR&gt;</v>
      </c>
    </row>
    <row r="31" spans="13:40" ht="16.5" customHeight="1" thickTop="1">
      <c r="M31" s="26"/>
      <c r="N31" s="26"/>
      <c r="O31" s="26"/>
      <c r="P31" s="26"/>
      <c r="Q31" s="26"/>
      <c r="R31" s="26"/>
      <c r="S31" s="26"/>
      <c r="T31" s="120"/>
      <c r="U31" s="120"/>
      <c r="V31" s="120"/>
      <c r="W31" s="120"/>
      <c r="X31" s="120"/>
      <c r="Y31" s="26"/>
      <c r="Z31" s="26"/>
      <c r="AA31" s="26"/>
      <c r="AN31" s="123" t="s">
        <v>18</v>
      </c>
    </row>
    <row r="32" spans="20:24" ht="15" customHeight="1">
      <c r="T32" s="121"/>
      <c r="U32" s="121"/>
      <c r="V32" s="121"/>
      <c r="W32" s="121"/>
      <c r="X32" s="121"/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3.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3" t="str">
        <f>'2.st. M'!B1</f>
        <v>krajské přebory</v>
      </c>
      <c r="H1" s="83"/>
    </row>
    <row r="2" spans="2:8" ht="21" customHeight="1">
      <c r="B2" s="4"/>
      <c r="H2" s="20" t="str">
        <f>CONCATENATE("MIX ",úvod!C8)</f>
        <v>MIX U13</v>
      </c>
    </row>
    <row r="3" spans="2:8" ht="13.5">
      <c r="B3" s="101">
        <v>41</v>
      </c>
      <c r="C3" s="2" t="str">
        <f>IF($B3="","",CONCATENATE(VLOOKUP($B3,sez!$A$2:$B$259,2)," (",VLOOKUP($B3,sez!$A$2:$E$259,4),")"))</f>
        <v>Cupáková Bára (KST FOSFA LVA)</v>
      </c>
      <c r="D3" s="4"/>
      <c r="H3" s="15"/>
    </row>
    <row r="4" spans="1:5" ht="12.75">
      <c r="A4" s="2">
        <v>1</v>
      </c>
      <c r="B4" s="5">
        <f>IF(B3="","",VLOOKUP(B3,debl!$B$1:$C$46,2,FALSE))</f>
        <v>3</v>
      </c>
      <c r="C4" s="5" t="str">
        <f>IF($B4="","bye",CONCATENATE(VLOOKUP($B4,sez!$A$2:$B$259,2)," (",VLOOKUP($B4,sez!$A$2:$E$259,4),")"))</f>
        <v>Cupák Jakub (KST FOSFA LVA)</v>
      </c>
      <c r="E4" s="2" t="str">
        <f>'výs MIX'!V2</f>
        <v>Cupáková Bára</v>
      </c>
    </row>
    <row r="5" spans="2:5" ht="12.75">
      <c r="B5" s="101">
        <v>54</v>
      </c>
      <c r="C5" s="2" t="str">
        <f>IF($B5="","",CONCATENATE(VLOOKUP($B5,sez!$A$2:$B$259,2)," (",VLOOKUP($B5,sez!$A$2:$E$259,4),")"))</f>
        <v>Konkolová Julie (Rousínovec)</v>
      </c>
      <c r="D5" s="13"/>
      <c r="E5" s="5" t="str">
        <f>'výs MIX'!X2</f>
        <v>Cupák Jakub</v>
      </c>
    </row>
    <row r="6" spans="1:6" ht="12.75">
      <c r="A6" s="2">
        <v>2</v>
      </c>
      <c r="B6" s="5">
        <f>IF(B5="","",VLOOKUP(B5,debl!$B$1:$C$46,2,FALSE))</f>
        <v>19</v>
      </c>
      <c r="C6" s="5" t="str">
        <f>IF($B6="","bye",CONCATENATE(VLOOKUP($B6,sez!$A$2:$B$259,2)," (",VLOOKUP($B6,sez!$A$2:$E$259,4),")"))</f>
        <v>Telecký Radovan (Orel Šlapanice)</v>
      </c>
      <c r="D6" s="14"/>
      <c r="E6" s="6" t="str">
        <f>'výs MIX'!Z2</f>
        <v>3:0 (6,7,9)</v>
      </c>
      <c r="F6" s="2" t="str">
        <f>'výs MIX'!V11</f>
        <v>Cupáková Bára</v>
      </c>
    </row>
    <row r="7" spans="2:6" ht="12.75">
      <c r="B7" s="101">
        <v>45</v>
      </c>
      <c r="C7" s="2" t="str">
        <f>IF($B7="","",CONCATENATE(VLOOKUP($B7,sez!$A$2:$B$259,2)," (",VLOOKUP($B7,sez!$A$2:$E$259,4),")"))</f>
        <v>Kotásková Julie (TJ Mikulčice)</v>
      </c>
      <c r="D7" s="15"/>
      <c r="E7" s="8"/>
      <c r="F7" s="9" t="str">
        <f>'výs MIX'!X11</f>
        <v>Cupák Jakub</v>
      </c>
    </row>
    <row r="8" spans="1:6" ht="12.75">
      <c r="A8" s="2">
        <v>3</v>
      </c>
      <c r="B8" s="5">
        <f>IF(B7="","",VLOOKUP(B7,debl!$B$1:$C$46,2,FALSE))</f>
        <v>26</v>
      </c>
      <c r="C8" s="5" t="str">
        <f>IF($B8="","bye",CONCATENATE(VLOOKUP($B8,sez!$A$2:$B$259,2)," (",VLOOKUP($B8,sez!$A$2:$E$259,4),")"))</f>
        <v>Kmenta Josef (SKST Hodonín)</v>
      </c>
      <c r="D8" s="12"/>
      <c r="E8" s="8" t="str">
        <f>'výs MIX'!V3</f>
        <v>Bařinová Tereza</v>
      </c>
      <c r="F8" s="6" t="str">
        <f>'výs MIX'!Z11</f>
        <v>3:0 (9,8,8)</v>
      </c>
    </row>
    <row r="9" spans="2:6" ht="12.75">
      <c r="B9" s="101">
        <v>48</v>
      </c>
      <c r="C9" s="2" t="str">
        <f>IF($B9="","",CONCATENATE(VLOOKUP($B9,sez!$A$2:$B$259,2)," (",VLOOKUP($B9,sez!$A$2:$E$259,4),")"))</f>
        <v>Bařinová Tereza (Agrotec Hustopeče)</v>
      </c>
      <c r="D9" s="13"/>
      <c r="E9" s="7" t="str">
        <f>'výs MIX'!X3</f>
        <v>Samson Hynek</v>
      </c>
      <c r="F9" s="8"/>
    </row>
    <row r="10" spans="1:7" ht="12.75">
      <c r="A10" s="2">
        <v>4</v>
      </c>
      <c r="B10" s="5">
        <f>IF(B9="","",VLOOKUP(B9,debl!$B$1:$C$46,2,FALSE))</f>
        <v>15</v>
      </c>
      <c r="C10" s="5" t="str">
        <f>IF($B10="","bye",CONCATENATE(VLOOKUP($B10,sez!$A$2:$B$259,2)," (",VLOOKUP($B10,sez!$A$2:$E$259,4),")"))</f>
        <v>Samson Hynek (Agrotec Hustopeče)</v>
      </c>
      <c r="D10" s="14"/>
      <c r="E10" s="2">
        <f>'výs MIX'!Z3</f>
      </c>
      <c r="F10" s="8"/>
      <c r="G10" s="2" t="str">
        <f>'výs MIX'!V16</f>
        <v>Cupáková Bára</v>
      </c>
    </row>
    <row r="11" spans="2:7" ht="12.75">
      <c r="B11" s="101">
        <v>43</v>
      </c>
      <c r="C11" s="2" t="str">
        <f>IF($B11="","",CONCATENATE(VLOOKUP($B11,sez!$A$2:$B$259,2)," (",VLOOKUP($B11,sez!$A$2:$E$259,4),")"))</f>
        <v>Struhárová Jana (MSK Břeclav)</v>
      </c>
      <c r="D11" s="15"/>
      <c r="F11" s="8"/>
      <c r="G11" s="9" t="str">
        <f>'výs MIX'!X16</f>
        <v>Cupák Jakub</v>
      </c>
    </row>
    <row r="12" spans="1:7" ht="12.75">
      <c r="A12" s="2">
        <v>5</v>
      </c>
      <c r="B12" s="5">
        <f>IF(B11="","",VLOOKUP(B11,debl!$B$1:$C$46,2,FALSE))</f>
        <v>12</v>
      </c>
      <c r="C12" s="5" t="str">
        <f>IF($B12="","bye",CONCATENATE(VLOOKUP($B12,sez!$A$2:$B$259,2)," (",VLOOKUP($B12,sez!$A$2:$E$259,4),")"))</f>
        <v>Jež Vítek (STP Mikulov)</v>
      </c>
      <c r="D12" s="12"/>
      <c r="E12" s="2" t="str">
        <f>'výs MIX'!V4</f>
        <v>Struhárová Jana</v>
      </c>
      <c r="F12" s="8"/>
      <c r="G12" s="6" t="str">
        <f>'výs MIX'!Z16</f>
        <v>3:1 (7,-5,4,10)</v>
      </c>
    </row>
    <row r="13" spans="2:7" ht="12.75">
      <c r="B13" s="101">
        <v>52</v>
      </c>
      <c r="C13" s="2" t="str">
        <f>IF($B13="","",CONCATENATE(VLOOKUP($B13,sez!$A$2:$B$259,2)," (",VLOOKUP($B13,sez!$A$2:$E$259,4),")"))</f>
        <v>Svobodová Kristýna (TJ Jiskra Strážnice)</v>
      </c>
      <c r="D13" s="13"/>
      <c r="E13" s="5" t="str">
        <f>'výs MIX'!X4</f>
        <v>Jež Vítek</v>
      </c>
      <c r="F13" s="8"/>
      <c r="G13" s="8"/>
    </row>
    <row r="14" spans="1:7" ht="12.75">
      <c r="A14" s="2">
        <v>6</v>
      </c>
      <c r="B14" s="5">
        <f>IF(B13="","",VLOOKUP(B13,debl!$B$1:$C$46,2,FALSE))</f>
        <v>32</v>
      </c>
      <c r="C14" s="5" t="str">
        <f>IF($B14="","bye",CONCATENATE(VLOOKUP($B14,sez!$A$2:$B$259,2)," (",VLOOKUP($B14,sez!$A$2:$E$259,4),")"))</f>
        <v>Peťura Patrik (TJ Jiskra Strážnice)</v>
      </c>
      <c r="D14" s="14"/>
      <c r="E14" s="6" t="str">
        <f>'výs MIX'!Z4</f>
        <v>3:0 (6,6,9)</v>
      </c>
      <c r="F14" s="8" t="str">
        <f>'výs MIX'!V12</f>
        <v>Báťková Pavlína</v>
      </c>
      <c r="G14" s="8"/>
    </row>
    <row r="15" spans="2:7" ht="12.75">
      <c r="B15" s="101">
        <v>55</v>
      </c>
      <c r="C15" s="2" t="str">
        <f>IF($B15="","",CONCATENATE(VLOOKUP($B15,sez!$A$2:$B$259,2)," (",VLOOKUP($B15,sez!$A$2:$E$259,4),")"))</f>
        <v>Trávníčková Eliška (TJ Brno-Bystrc)</v>
      </c>
      <c r="D15" s="15"/>
      <c r="E15" s="8"/>
      <c r="F15" s="10" t="str">
        <f>'výs MIX'!X12</f>
        <v>Macánek Martin</v>
      </c>
      <c r="G15" s="8"/>
    </row>
    <row r="16" spans="1:7" ht="12.75">
      <c r="A16" s="2">
        <v>7</v>
      </c>
      <c r="B16" s="5">
        <f>IF(B15="","",VLOOKUP(B15,debl!$B$1:$C$46,2,FALSE))</f>
        <v>14</v>
      </c>
      <c r="C16" s="5" t="str">
        <f>IF($B16="","bye",CONCATENATE(VLOOKUP($B16,sez!$A$2:$B$259,2)," (",VLOOKUP($B16,sez!$A$2:$E$259,4),")"))</f>
        <v>Strnad Mikuláš (Sokol Brno I)</v>
      </c>
      <c r="D16" s="12"/>
      <c r="E16" s="8" t="str">
        <f>'výs MIX'!V5</f>
        <v>Báťková Pavlína</v>
      </c>
      <c r="F16" s="2" t="str">
        <f>'výs MIX'!Z12</f>
        <v>3:1 (-9,7,4,6)</v>
      </c>
      <c r="G16" s="8"/>
    </row>
    <row r="17" spans="2:7" ht="12.75">
      <c r="B17" s="101">
        <v>42</v>
      </c>
      <c r="C17" s="2" t="str">
        <f>IF($B17="","",CONCATENATE(VLOOKUP($B17,sez!$A$2:$B$259,2)," (",VLOOKUP($B17,sez!$A$2:$E$259,4),")"))</f>
        <v>Báťková Pavlína (SKST Hodonín)</v>
      </c>
      <c r="D17" s="13"/>
      <c r="E17" s="7" t="str">
        <f>'výs MIX'!X5</f>
        <v>Macánek Martin</v>
      </c>
      <c r="G17" s="8"/>
    </row>
    <row r="18" spans="1:8" ht="12.75">
      <c r="A18" s="2">
        <v>8</v>
      </c>
      <c r="B18" s="5">
        <f>IF(B17="","",VLOOKUP(B17,debl!$B$1:$C$46,2,FALSE))</f>
        <v>9</v>
      </c>
      <c r="C18" s="5" t="str">
        <f>IF($B18="","bye",CONCATENATE(VLOOKUP($B18,sez!$A$2:$B$259,2)," (",VLOOKUP($B18,sez!$A$2:$E$259,4),")"))</f>
        <v>Macánek Martin (SKST Hodonín)</v>
      </c>
      <c r="D18" s="14"/>
      <c r="E18" s="2" t="str">
        <f>'výs MIX'!Z5</f>
        <v>3:0 (6,8,9)</v>
      </c>
      <c r="G18" s="8"/>
      <c r="H18" s="1" t="str">
        <f>'výs MIX'!V19</f>
        <v>Machová Adélka</v>
      </c>
    </row>
    <row r="19" spans="2:8" ht="12.75">
      <c r="B19" s="101">
        <v>47</v>
      </c>
      <c r="C19" s="2" t="str">
        <f>IF($B19="","",CONCATENATE(VLOOKUP($B19,sez!$A$2:$B$259,2)," (",VLOOKUP($B19,sez!$A$2:$E$259,4),")"))</f>
        <v>Zechmeisterová Rebeka (KST FOSFA LVA)</v>
      </c>
      <c r="D19" s="15"/>
      <c r="G19" s="8"/>
      <c r="H19" s="21" t="str">
        <f>'výs MIX'!X19</f>
        <v>Štěpánek Adam</v>
      </c>
    </row>
    <row r="20" spans="1:8" ht="12.75">
      <c r="A20" s="2">
        <v>9</v>
      </c>
      <c r="B20" s="5">
        <f>IF(B19="","",VLOOKUP(B19,debl!$B$1:$C$46,2,FALSE))</f>
        <v>7</v>
      </c>
      <c r="C20" s="5" t="str">
        <f>IF($B20="","bye",CONCATENATE(VLOOKUP($B20,sez!$A$2:$B$259,2)," (",VLOOKUP($B20,sez!$A$2:$E$259,4),")"))</f>
        <v>Herman Jan (KST FOSFA LVA)</v>
      </c>
      <c r="D20" s="12"/>
      <c r="E20" s="2" t="str">
        <f>'výs MIX'!V6</f>
        <v>Zechmeisterová Rebeka</v>
      </c>
      <c r="G20" s="8"/>
      <c r="H20" s="6" t="str">
        <f>'výs MIX'!Z19</f>
        <v>3:1 (8,10,-9,10)</v>
      </c>
    </row>
    <row r="21" spans="2:8" ht="12.75">
      <c r="B21" s="101">
        <v>50</v>
      </c>
      <c r="C21" s="2" t="str">
        <f>IF($B21="","",CONCATENATE(VLOOKUP($B21,sez!$A$2:$B$259,2)," (",VLOOKUP($B21,sez!$A$2:$E$259,4),")"))</f>
        <v>Zídková Madlen (MSK Břeclav)</v>
      </c>
      <c r="D21" s="13"/>
      <c r="E21" s="5" t="str">
        <f>'výs MIX'!X6</f>
        <v>Herman Jan</v>
      </c>
      <c r="G21" s="8"/>
      <c r="H21" s="8"/>
    </row>
    <row r="22" spans="1:8" ht="12.75">
      <c r="A22" s="2">
        <v>10</v>
      </c>
      <c r="B22" s="5">
        <f>IF(B21="","",VLOOKUP(B21,debl!$B$1:$C$46,2,FALSE))</f>
        <v>13</v>
      </c>
      <c r="C22" s="5" t="str">
        <f>IF($B22="","bye",CONCATENATE(VLOOKUP($B22,sez!$A$2:$B$259,2)," (",VLOOKUP($B22,sez!$A$2:$E$259,4),")"))</f>
        <v>Tuč Michal (Sokol Brno I)</v>
      </c>
      <c r="D22" s="14"/>
      <c r="E22" s="6" t="str">
        <f>'výs MIX'!Z6</f>
        <v>3:0 (5,9,8)</v>
      </c>
      <c r="F22" s="2" t="str">
        <f>'výs MIX'!V13</f>
        <v>Zechmeisterová Rebeka</v>
      </c>
      <c r="G22" s="8"/>
      <c r="H22" s="8"/>
    </row>
    <row r="23" spans="2:8" ht="12.75">
      <c r="B23" s="101">
        <v>53</v>
      </c>
      <c r="C23" s="2" t="str">
        <f>IF($B23="","",CONCATENATE(VLOOKUP($B23,sez!$A$2:$B$259,2)," (",VLOOKUP($B23,sez!$A$2:$E$259,4),")"))</f>
        <v>Tufová Laura (SKST Hodonín)</v>
      </c>
      <c r="D23" s="15"/>
      <c r="E23" s="8"/>
      <c r="F23" s="9" t="str">
        <f>'výs MIX'!X13</f>
        <v>Herman Jan</v>
      </c>
      <c r="G23" s="8"/>
      <c r="H23" s="8"/>
    </row>
    <row r="24" spans="1:8" ht="12.75">
      <c r="A24" s="2">
        <v>11</v>
      </c>
      <c r="B24" s="5">
        <f>IF(B23="","",VLOOKUP(B23,debl!$B$1:$C$46,2,FALSE))</f>
        <v>21</v>
      </c>
      <c r="C24" s="5" t="str">
        <f>IF($B24="","bye",CONCATENATE(VLOOKUP($B24,sez!$A$2:$B$259,2)," (",VLOOKUP($B24,sez!$A$2:$E$259,4),")"))</f>
        <v>Sýkora Tomáš (STP Mikulov)</v>
      </c>
      <c r="D24" s="12"/>
      <c r="E24" s="8" t="str">
        <f>'výs MIX'!V7</f>
        <v>Tufová Laura</v>
      </c>
      <c r="F24" s="6" t="str">
        <f>'výs MIX'!Z13</f>
        <v>3:1 (7,8,-7,6)</v>
      </c>
      <c r="G24" s="8"/>
      <c r="H24" s="8"/>
    </row>
    <row r="25" spans="2:8" ht="12.75">
      <c r="B25" s="101">
        <v>51</v>
      </c>
      <c r="C25" s="2" t="str">
        <f>IF($B25="","",CONCATENATE(VLOOKUP($B25,sez!$A$2:$B$259,2)," (",VLOOKUP($B25,sez!$A$2:$E$259,4),")"))</f>
        <v>Křepelová Kamila (STK Zbraslavec)</v>
      </c>
      <c r="D25" s="13"/>
      <c r="E25" s="7" t="str">
        <f>'výs MIX'!X7</f>
        <v>Sýkora Tomáš</v>
      </c>
      <c r="F25" s="8"/>
      <c r="G25" s="8"/>
      <c r="H25" s="8"/>
    </row>
    <row r="26" spans="1:8" ht="12.75">
      <c r="A26" s="2">
        <v>12</v>
      </c>
      <c r="B26" s="5">
        <f>IF(B25="","",VLOOKUP(B25,debl!$B$1:$C$46,2,FALSE))</f>
        <v>11</v>
      </c>
      <c r="C26" s="5" t="str">
        <f>IF($B26="","bye",CONCATENATE(VLOOKUP($B26,sez!$A$2:$B$259,2)," (",VLOOKUP($B26,sez!$A$2:$E$259,4),")"))</f>
        <v>Barták Lukáš (KST Kunštát)</v>
      </c>
      <c r="D26" s="14"/>
      <c r="E26" s="2" t="str">
        <f>'výs MIX'!Z7</f>
        <v>3:1 (-5,3,8,8)</v>
      </c>
      <c r="F26" s="8"/>
      <c r="G26" s="8" t="str">
        <f>'výs MIX'!V17</f>
        <v>Machová Adélka</v>
      </c>
      <c r="H26" s="8"/>
    </row>
    <row r="27" spans="2:8" ht="12.75">
      <c r="B27" s="101">
        <v>49</v>
      </c>
      <c r="C27" s="2" t="str">
        <f>IF($B27="","",CONCATENATE(VLOOKUP($B27,sez!$A$2:$B$259,2)," (",VLOOKUP($B27,sez!$A$2:$E$259,4),")"))</f>
        <v>Bravencová Karolína (Josefov)</v>
      </c>
      <c r="D27" s="15"/>
      <c r="F27" s="8"/>
      <c r="G27" s="10" t="str">
        <f>'výs MIX'!X17</f>
        <v>Štěpánek Adam</v>
      </c>
      <c r="H27" s="8"/>
    </row>
    <row r="28" spans="1:8" ht="12.75">
      <c r="A28" s="2">
        <v>13</v>
      </c>
      <c r="B28" s="5">
        <f>IF(B27="","",VLOOKUP(B27,debl!$B$1:$C$46,2,FALSE))</f>
        <v>6</v>
      </c>
      <c r="C28" s="5" t="str">
        <f>IF($B28="","bye",CONCATENATE(VLOOKUP($B28,sez!$A$2:$B$259,2)," (",VLOOKUP($B28,sez!$A$2:$E$259,4),")"))</f>
        <v>Koudelka David (MS Brno)</v>
      </c>
      <c r="D28" s="12"/>
      <c r="E28" s="2" t="str">
        <f>'výs MIX'!V8</f>
        <v>Polanská Claudia</v>
      </c>
      <c r="F28" s="8"/>
      <c r="G28" s="2" t="str">
        <f>'výs MIX'!Z17</f>
        <v>3:0 (2,8,4)</v>
      </c>
      <c r="H28" s="8"/>
    </row>
    <row r="29" spans="2:8" ht="12.75">
      <c r="B29" s="101">
        <v>46</v>
      </c>
      <c r="C29" s="2" t="str">
        <f>IF($B29="","",CONCATENATE(VLOOKUP($B29,sez!$A$2:$B$259,2)," (",VLOOKUP($B29,sez!$A$2:$E$259,4),")"))</f>
        <v>Polanská Claudia (KST FOSFA LVA)</v>
      </c>
      <c r="D29" s="13"/>
      <c r="E29" s="5" t="str">
        <f>'výs MIX'!X8</f>
        <v>Le Phuoc Vu</v>
      </c>
      <c r="F29" s="8"/>
      <c r="H29" s="8"/>
    </row>
    <row r="30" spans="1:8" ht="12.75">
      <c r="A30" s="2">
        <v>14</v>
      </c>
      <c r="B30" s="5">
        <f>IF(B29="","",VLOOKUP(B29,debl!$B$1:$C$46,2,FALSE))</f>
        <v>24</v>
      </c>
      <c r="C30" s="5" t="str">
        <f>IF($B30="","bye",CONCATENATE(VLOOKUP($B30,sez!$A$2:$B$259,2)," (",VLOOKUP($B30,sez!$A$2:$E$259,4),")"))</f>
        <v>Le Phuoc Vu (Sokol Znojmo-Orel Únanov)</v>
      </c>
      <c r="D30" s="14"/>
      <c r="E30" s="6" t="str">
        <f>'výs MIX'!Z8</f>
        <v>3:1 (-9,8,6,9)</v>
      </c>
      <c r="F30" s="8" t="str">
        <f>'výs MIX'!V14</f>
        <v>Machová Adélka</v>
      </c>
      <c r="H30" s="8"/>
    </row>
    <row r="31" spans="2:8" ht="12.75">
      <c r="B31" s="101">
        <v>56</v>
      </c>
      <c r="C31" s="2" t="str">
        <f>IF($B31="","",CONCATENATE(VLOOKUP($B31,sez!$A$2:$B$259,2)," (",VLOOKUP($B31,sez!$A$2:$E$259,4),")"))</f>
        <v>Hanáčková Lucie (MK Řeznovice)</v>
      </c>
      <c r="D31" s="15"/>
      <c r="E31" s="8"/>
      <c r="F31" s="10" t="str">
        <f>'výs MIX'!X14</f>
        <v>Štěpánek Adam</v>
      </c>
      <c r="H31" s="8"/>
    </row>
    <row r="32" spans="1:8" ht="12.75">
      <c r="A32" s="2">
        <v>15</v>
      </c>
      <c r="B32" s="5">
        <f>IF(B31="","",VLOOKUP(B31,debl!$B$1:$C$46,2,FALSE))</f>
        <v>30</v>
      </c>
      <c r="C32" s="5" t="str">
        <f>IF($B32="","bye",CONCATENATE(VLOOKUP($B32,sez!$A$2:$B$259,2)," (",VLOOKUP($B32,sez!$A$2:$E$259,4),")"))</f>
        <v>Kouřil Antonín (MK Řeznovice)</v>
      </c>
      <c r="D32" s="12"/>
      <c r="E32" s="8" t="str">
        <f>'výs MIX'!V9</f>
        <v>Machová Adélka</v>
      </c>
      <c r="F32" s="2" t="str">
        <f>'výs MIX'!Z14</f>
        <v>3:0 (5,6,10)</v>
      </c>
      <c r="H32" s="8"/>
    </row>
    <row r="33" spans="2:8" ht="12.75">
      <c r="B33" s="101">
        <v>44</v>
      </c>
      <c r="C33" s="2" t="str">
        <f>IF($B33="","",CONCATENATE(VLOOKUP($B33,sez!$A$2:$B$259,2)," (",VLOOKUP($B33,sez!$A$2:$E$259,4),")"))</f>
        <v>Machová Adélka (STP Mikulov)</v>
      </c>
      <c r="D33" s="13"/>
      <c r="E33" s="7" t="str">
        <f>'výs MIX'!X9</f>
        <v>Štěpánek Adam</v>
      </c>
      <c r="H33" s="8"/>
    </row>
    <row r="34" spans="1:8" ht="12.75">
      <c r="A34" s="2">
        <v>16</v>
      </c>
      <c r="B34" s="5">
        <f>IF(B33="","",VLOOKUP(B33,debl!$B$1:$C$46,2,FALSE))</f>
        <v>4</v>
      </c>
      <c r="C34" s="5" t="str">
        <f>IF($B34="","bye",CONCATENATE(VLOOKUP($B34,sez!$A$2:$B$259,2)," (",VLOOKUP($B34,sez!$A$2:$E$259,4),")"))</f>
        <v>Štěpánek Adam (STP Mikulov)</v>
      </c>
      <c r="D34" s="14"/>
      <c r="E34" s="2" t="str">
        <f>'výs MIX'!Z9</f>
        <v>3:1 (5,5,-9,7)</v>
      </c>
      <c r="H34" s="24"/>
    </row>
    <row r="35" spans="3:8" ht="12.75">
      <c r="C35" s="2">
        <f>IF($B35="","",CONCATENATE(VLOOKUP($B35,sez!$A$2:$B$259,2)," (",VLOOKUP($B35,sez!$A$2:$E$259,4),")"))</f>
      </c>
      <c r="D35" s="15"/>
      <c r="H35" s="24"/>
    </row>
    <row r="36" spans="1:8" ht="12.75">
      <c r="A36" s="82"/>
      <c r="B36" s="82"/>
      <c r="C36" s="82"/>
      <c r="D36" s="88"/>
      <c r="E36" s="82"/>
      <c r="F36" s="82"/>
      <c r="G36" s="82"/>
      <c r="H36" s="82"/>
    </row>
    <row r="37" spans="1:8" ht="12.75">
      <c r="A37" s="82"/>
      <c r="B37" s="82"/>
      <c r="C37" s="82"/>
      <c r="D37" s="88"/>
      <c r="E37" s="82"/>
      <c r="F37" s="82"/>
      <c r="G37" s="82"/>
      <c r="H37" s="82"/>
    </row>
    <row r="38" spans="1:8" ht="12.75">
      <c r="A38" s="82"/>
      <c r="B38" s="82"/>
      <c r="C38" s="82"/>
      <c r="D38" s="88"/>
      <c r="E38" s="82"/>
      <c r="F38" s="82"/>
      <c r="G38" s="82"/>
      <c r="H38" s="82"/>
    </row>
    <row r="39" spans="1:8" ht="12.75">
      <c r="A39" s="82"/>
      <c r="B39" s="82"/>
      <c r="C39" s="82"/>
      <c r="D39" s="88"/>
      <c r="E39" s="82"/>
      <c r="F39" s="82"/>
      <c r="G39" s="82"/>
      <c r="H39" s="82"/>
    </row>
    <row r="40" spans="1:8" ht="12.75">
      <c r="A40" s="82"/>
      <c r="B40" s="82"/>
      <c r="C40" s="82"/>
      <c r="D40" s="88"/>
      <c r="E40" s="82"/>
      <c r="F40" s="82"/>
      <c r="G40" s="82"/>
      <c r="H40" s="82"/>
    </row>
    <row r="41" spans="1:8" ht="12.75">
      <c r="A41" s="82"/>
      <c r="B41" s="82"/>
      <c r="C41" s="82"/>
      <c r="D41" s="88"/>
      <c r="E41" s="82"/>
      <c r="F41" s="82"/>
      <c r="G41" s="82"/>
      <c r="H41" s="82"/>
    </row>
    <row r="42" spans="1:8" ht="12.75">
      <c r="A42" s="82"/>
      <c r="B42" s="82"/>
      <c r="C42" s="82"/>
      <c r="D42" s="88"/>
      <c r="E42" s="82"/>
      <c r="F42" s="82"/>
      <c r="G42" s="82"/>
      <c r="H42" s="82"/>
    </row>
    <row r="43" spans="1:8" ht="12.75">
      <c r="A43" s="82"/>
      <c r="B43" s="82"/>
      <c r="C43" s="82"/>
      <c r="D43" s="88"/>
      <c r="E43" s="82"/>
      <c r="F43" s="82"/>
      <c r="G43" s="82"/>
      <c r="H43" s="82"/>
    </row>
    <row r="44" spans="1:8" ht="12.75">
      <c r="A44" s="82"/>
      <c r="B44" s="82"/>
      <c r="C44" s="82"/>
      <c r="D44" s="88"/>
      <c r="E44" s="82"/>
      <c r="F44" s="82"/>
      <c r="G44" s="82"/>
      <c r="H44" s="82"/>
    </row>
    <row r="45" spans="1:8" ht="12.75">
      <c r="A45" s="82"/>
      <c r="B45" s="82"/>
      <c r="C45" s="82"/>
      <c r="D45" s="88"/>
      <c r="E45" s="82"/>
      <c r="F45" s="82"/>
      <c r="G45" s="82"/>
      <c r="H45" s="82"/>
    </row>
    <row r="46" spans="1:8" ht="12.75">
      <c r="A46" s="82"/>
      <c r="B46" s="82"/>
      <c r="C46" s="82"/>
      <c r="D46" s="88"/>
      <c r="E46" s="82"/>
      <c r="F46" s="82"/>
      <c r="G46" s="82"/>
      <c r="H46" s="82"/>
    </row>
    <row r="47" spans="1:8" ht="12.75">
      <c r="A47" s="82"/>
      <c r="B47" s="82"/>
      <c r="C47" s="82"/>
      <c r="D47" s="88"/>
      <c r="E47" s="82"/>
      <c r="F47" s="82"/>
      <c r="G47" s="82"/>
      <c r="H47" s="82"/>
    </row>
    <row r="48" spans="1:8" ht="12.75">
      <c r="A48" s="82"/>
      <c r="B48" s="82"/>
      <c r="C48" s="82"/>
      <c r="D48" s="88"/>
      <c r="E48" s="82"/>
      <c r="F48" s="82"/>
      <c r="G48" s="82"/>
      <c r="H48" s="82"/>
    </row>
    <row r="49" spans="1:8" ht="12.75">
      <c r="A49" s="82"/>
      <c r="B49" s="82"/>
      <c r="C49" s="82"/>
      <c r="D49" s="88"/>
      <c r="E49" s="82"/>
      <c r="F49" s="82"/>
      <c r="G49" s="82"/>
      <c r="H49" s="82"/>
    </row>
    <row r="50" spans="1:8" ht="12.75">
      <c r="A50" s="82"/>
      <c r="B50" s="82"/>
      <c r="C50" s="82"/>
      <c r="D50" s="88"/>
      <c r="E50" s="82"/>
      <c r="F50" s="82"/>
      <c r="G50" s="82"/>
      <c r="H50" s="89"/>
    </row>
    <row r="51" spans="1:8" ht="12.75">
      <c r="A51" s="82"/>
      <c r="B51" s="82"/>
      <c r="C51" s="82"/>
      <c r="D51" s="88"/>
      <c r="E51" s="82"/>
      <c r="F51" s="82"/>
      <c r="G51" s="82"/>
      <c r="H51" s="89"/>
    </row>
    <row r="52" spans="1:8" ht="12.75">
      <c r="A52" s="82"/>
      <c r="B52" s="82"/>
      <c r="C52" s="82"/>
      <c r="D52" s="88"/>
      <c r="E52" s="82"/>
      <c r="F52" s="82"/>
      <c r="G52" s="82"/>
      <c r="H52" s="82"/>
    </row>
    <row r="53" spans="1:8" ht="12.75">
      <c r="A53" s="82"/>
      <c r="B53" s="82"/>
      <c r="C53" s="82"/>
      <c r="D53" s="88"/>
      <c r="E53" s="82"/>
      <c r="F53" s="82"/>
      <c r="G53" s="82"/>
      <c r="H53" s="82"/>
    </row>
    <row r="54" spans="1:8" ht="12.75">
      <c r="A54" s="82"/>
      <c r="B54" s="82"/>
      <c r="C54" s="82"/>
      <c r="D54" s="88"/>
      <c r="E54" s="82"/>
      <c r="F54" s="82"/>
      <c r="G54" s="82"/>
      <c r="H54" s="82"/>
    </row>
    <row r="55" spans="1:8" ht="12.75">
      <c r="A55" s="82"/>
      <c r="B55" s="82"/>
      <c r="C55" s="82"/>
      <c r="D55" s="88"/>
      <c r="E55" s="82"/>
      <c r="F55" s="82"/>
      <c r="G55" s="82"/>
      <c r="H55" s="82"/>
    </row>
    <row r="56" spans="1:8" ht="12.75">
      <c r="A56" s="82"/>
      <c r="B56" s="82"/>
      <c r="C56" s="82"/>
      <c r="D56" s="88"/>
      <c r="E56" s="82"/>
      <c r="F56" s="82"/>
      <c r="G56" s="82"/>
      <c r="H56" s="82"/>
    </row>
    <row r="57" spans="1:8" ht="12.75">
      <c r="A57" s="82"/>
      <c r="B57" s="82"/>
      <c r="C57" s="82"/>
      <c r="D57" s="88"/>
      <c r="E57" s="82"/>
      <c r="F57" s="82"/>
      <c r="G57" s="82"/>
      <c r="H57" s="82"/>
    </row>
    <row r="58" spans="1:8" ht="12.75">
      <c r="A58" s="82"/>
      <c r="B58" s="82"/>
      <c r="C58" s="82"/>
      <c r="D58" s="88"/>
      <c r="E58" s="82"/>
      <c r="F58" s="82"/>
      <c r="G58" s="82"/>
      <c r="H58" s="82"/>
    </row>
    <row r="59" spans="1:8" ht="12.75">
      <c r="A59" s="82"/>
      <c r="B59" s="82"/>
      <c r="C59" s="82"/>
      <c r="D59" s="88"/>
      <c r="E59" s="82"/>
      <c r="F59" s="82"/>
      <c r="G59" s="82"/>
      <c r="H59" s="82"/>
    </row>
    <row r="60" spans="1:8" ht="12.75">
      <c r="A60" s="82"/>
      <c r="B60" s="82"/>
      <c r="C60" s="82"/>
      <c r="D60" s="88"/>
      <c r="E60" s="82"/>
      <c r="F60" s="82"/>
      <c r="G60" s="82"/>
      <c r="H60" s="82"/>
    </row>
    <row r="61" spans="1:8" ht="12.75">
      <c r="A61" s="82"/>
      <c r="B61" s="82"/>
      <c r="C61" s="82"/>
      <c r="D61" s="88"/>
      <c r="E61" s="82"/>
      <c r="F61" s="82"/>
      <c r="G61" s="82"/>
      <c r="H61" s="82"/>
    </row>
    <row r="62" spans="1:8" ht="12.75">
      <c r="A62" s="82"/>
      <c r="B62" s="82"/>
      <c r="C62" s="82"/>
      <c r="D62" s="88"/>
      <c r="E62" s="82"/>
      <c r="F62" s="82"/>
      <c r="G62" s="82"/>
      <c r="H62" s="82"/>
    </row>
    <row r="63" spans="1:8" ht="12.75">
      <c r="A63" s="82"/>
      <c r="B63" s="82"/>
      <c r="C63" s="82"/>
      <c r="D63" s="88"/>
      <c r="E63" s="82"/>
      <c r="F63" s="82"/>
      <c r="G63" s="82"/>
      <c r="H63" s="82"/>
    </row>
    <row r="64" spans="1:8" ht="12.75">
      <c r="A64" s="82"/>
      <c r="B64" s="82"/>
      <c r="C64" s="82"/>
      <c r="D64" s="88"/>
      <c r="E64" s="82"/>
      <c r="F64" s="82"/>
      <c r="G64" s="82"/>
      <c r="H64" s="82"/>
    </row>
    <row r="65" spans="1:8" ht="12.75">
      <c r="A65" s="82"/>
      <c r="B65" s="82"/>
      <c r="C65" s="82"/>
      <c r="D65" s="88"/>
      <c r="E65" s="82"/>
      <c r="F65" s="82"/>
      <c r="G65" s="82"/>
      <c r="H65" s="82"/>
    </row>
    <row r="66" spans="1:8" ht="12.75">
      <c r="A66" s="82"/>
      <c r="B66" s="82"/>
      <c r="C66" s="82"/>
      <c r="D66" s="88"/>
      <c r="E66" s="82"/>
      <c r="F66" s="82"/>
      <c r="G66" s="82"/>
      <c r="H66" s="82"/>
    </row>
    <row r="67" ht="12.75">
      <c r="D67" s="88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pane ySplit="1" topLeftCell="A2" activePane="bottomLeft" state="frozen"/>
      <selection pane="topLeft" activeCell="H19" sqref="H19"/>
      <selection pane="bottomLeft" activeCell="R19" sqref="R19"/>
    </sheetView>
  </sheetViews>
  <sheetFormatPr defaultColWidth="9.00390625" defaultRowHeight="12.75"/>
  <cols>
    <col min="1" max="1" width="19.625" style="2" customWidth="1"/>
    <col min="2" max="2" width="4.625" style="2" bestFit="1" customWidth="1"/>
    <col min="3" max="3" width="16.00390625" style="103" bestFit="1" customWidth="1"/>
    <col min="4" max="4" width="7.00390625" style="103" bestFit="1" customWidth="1"/>
    <col min="5" max="5" width="4.625" style="103" bestFit="1" customWidth="1"/>
    <col min="6" max="6" width="16.00390625" style="103" bestFit="1" customWidth="1"/>
    <col min="7" max="7" width="7.00390625" style="103" bestFit="1" customWidth="1"/>
    <col min="8" max="8" width="4.875" style="103" bestFit="1" customWidth="1"/>
    <col min="9" max="9" width="16.00390625" style="103" bestFit="1" customWidth="1"/>
    <col min="10" max="10" width="7.00390625" style="103" bestFit="1" customWidth="1"/>
    <col min="11" max="11" width="4.875" style="103" bestFit="1" customWidth="1"/>
    <col min="12" max="12" width="14.375" style="103" bestFit="1" customWidth="1"/>
    <col min="13" max="13" width="7.00390625" style="2" bestFit="1" customWidth="1"/>
    <col min="14" max="15" width="3.875" style="2" customWidth="1"/>
    <col min="16" max="20" width="4.25390625" style="2" customWidth="1"/>
    <col min="21" max="21" width="4.625" style="2" bestFit="1" customWidth="1"/>
    <col min="22" max="22" width="12.00390625" style="2" customWidth="1"/>
    <col min="23" max="23" width="4.125" style="2" customWidth="1"/>
    <col min="24" max="24" width="11.00390625" style="2" customWidth="1"/>
    <col min="25" max="25" width="3.125" style="2" customWidth="1"/>
    <col min="26" max="26" width="21.75390625" style="2" bestFit="1" customWidth="1"/>
    <col min="27" max="27" width="2.75390625" style="2" customWidth="1"/>
    <col min="28" max="32" width="4.125" style="2" customWidth="1"/>
    <col min="33" max="16384" width="9.125" style="2" customWidth="1"/>
  </cols>
  <sheetData>
    <row r="1" spans="2:21" ht="13.5" thickBot="1">
      <c r="B1" s="1" t="s">
        <v>0</v>
      </c>
      <c r="C1" s="102" t="s">
        <v>1</v>
      </c>
      <c r="D1" s="102" t="s">
        <v>2</v>
      </c>
      <c r="E1" s="102" t="s">
        <v>0</v>
      </c>
      <c r="F1" s="102" t="s">
        <v>3</v>
      </c>
      <c r="G1" s="102" t="s">
        <v>2</v>
      </c>
      <c r="H1" s="102" t="s">
        <v>0</v>
      </c>
      <c r="I1" s="102" t="s">
        <v>14</v>
      </c>
      <c r="J1" s="102" t="s">
        <v>2</v>
      </c>
      <c r="K1" s="102" t="s">
        <v>0</v>
      </c>
      <c r="L1" s="102" t="s">
        <v>15</v>
      </c>
      <c r="M1" s="1" t="s">
        <v>2</v>
      </c>
      <c r="N1" s="23" t="s">
        <v>4</v>
      </c>
      <c r="O1" s="23" t="s">
        <v>5</v>
      </c>
      <c r="P1" s="23" t="s">
        <v>6</v>
      </c>
      <c r="Q1" s="23" t="s">
        <v>7</v>
      </c>
      <c r="R1" s="23" t="s">
        <v>8</v>
      </c>
      <c r="S1" s="1" t="s">
        <v>9</v>
      </c>
      <c r="T1" s="1" t="s">
        <v>10</v>
      </c>
      <c r="U1" s="1" t="s">
        <v>11</v>
      </c>
    </row>
    <row r="2" spans="1:32" ht="13.5" thickTop="1">
      <c r="A2" s="131" t="str">
        <f>CONCATENATE("MIX ",úvod!$C$8," - 1.kolo")</f>
        <v>MIX U13 - 1.kolo</v>
      </c>
      <c r="B2" s="131">
        <f>MIX!$B$3</f>
        <v>41</v>
      </c>
      <c r="C2" s="131" t="str">
        <f>IF($B2=0,"bye",VLOOKUP($B2,sez!$A$2:$D$259,2))</f>
        <v>Cupáková Bára</v>
      </c>
      <c r="D2" s="131" t="str">
        <f>IF($B2=0,"",VLOOKUP($B2,sez!$A$2:$D$259,4))</f>
        <v>KST FOSFA LVA</v>
      </c>
      <c r="E2" s="131">
        <f>MIX!$B$4</f>
        <v>3</v>
      </c>
      <c r="F2" s="131" t="str">
        <f>IF($E2="","bye",VLOOKUP($E2,sez!$A$2:$D$259,2))</f>
        <v>Cupák Jakub</v>
      </c>
      <c r="G2" s="131" t="str">
        <f>IF($E2="","",VLOOKUP($E2,sez!$A$2:$D$259,4))</f>
        <v>KST FOSFA LVA</v>
      </c>
      <c r="H2" s="131">
        <f>MIX!$B$5</f>
        <v>54</v>
      </c>
      <c r="I2" s="131" t="str">
        <f>IF($H2=0,"bye",VLOOKUP($H2,sez!$A$2:$D$259,2))</f>
        <v>Konkolová Julie</v>
      </c>
      <c r="J2" s="131" t="str">
        <f>IF($H2=0,"",VLOOKUP($H2,sez!$A$2:$D$259,4))</f>
        <v>Rousínovec</v>
      </c>
      <c r="K2" s="131">
        <f>MIX!$B$6</f>
        <v>19</v>
      </c>
      <c r="L2" s="131" t="str">
        <f>IF($K2="","bye",VLOOKUP($K2,sez!$A$2:$D$259,2))</f>
        <v>Telecký Radovan</v>
      </c>
      <c r="M2" s="131" t="str">
        <f>IF($K2="","",VLOOKUP($K2,sez!$A$2:$D$259,4))</f>
        <v>Orel Šlapanice</v>
      </c>
      <c r="N2" s="63" t="s">
        <v>131</v>
      </c>
      <c r="O2" s="64" t="s">
        <v>134</v>
      </c>
      <c r="P2" s="64" t="s">
        <v>121</v>
      </c>
      <c r="Q2" s="64"/>
      <c r="R2" s="65"/>
      <c r="S2" s="2">
        <f>COUNTIF(AB2:AF2,"&gt;0")</f>
        <v>3</v>
      </c>
      <c r="T2" s="2">
        <f>COUNTIF(AB2:AF2,"&lt;0")</f>
        <v>0</v>
      </c>
      <c r="U2" s="2">
        <f aca="true" t="shared" si="0" ref="U2:U9">IF(S2=T2,0,IF(S2&gt;T2,B2,H2))</f>
        <v>41</v>
      </c>
      <c r="V2" s="2" t="str">
        <f>IF($U2=0,"",VLOOKUP($U2,sez!$A$2:$D$259,2))</f>
        <v>Cupáková Bára</v>
      </c>
      <c r="W2" s="2">
        <f aca="true" t="shared" si="1" ref="W2:W9">IF(S2=T2,0,IF(S2&gt;T2,E2,K2))</f>
        <v>3</v>
      </c>
      <c r="X2" s="2" t="str">
        <f>IF($W2=0,"",VLOOKUP($W2,sez!$A$2:$D$259,2))</f>
        <v>Cupák Jakub</v>
      </c>
      <c r="Y2" s="2" t="str">
        <f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>3:0 (6,7,9)</v>
      </c>
      <c r="Z2" s="2" t="str">
        <f>IF(MAX(S2:T2)=3,Y2,"")</f>
        <v>3:0 (6,7,9)</v>
      </c>
      <c r="AB2" s="25">
        <f aca="true" t="shared" si="2" ref="AB2:AF3">IF(N2="",0,IF(MID(N2,1,1)="-",-1,1))</f>
        <v>1</v>
      </c>
      <c r="AC2" s="25">
        <f t="shared" si="2"/>
        <v>1</v>
      </c>
      <c r="AD2" s="25">
        <f t="shared" si="2"/>
        <v>1</v>
      </c>
      <c r="AE2" s="25">
        <f t="shared" si="2"/>
        <v>0</v>
      </c>
      <c r="AF2" s="25">
        <f t="shared" si="2"/>
        <v>0</v>
      </c>
    </row>
    <row r="3" spans="1:32" ht="12.75">
      <c r="A3" s="131" t="str">
        <f>CONCATENATE("MIX ",úvod!$C$8," - 1.kolo")</f>
        <v>MIX U13 - 1.kolo</v>
      </c>
      <c r="B3" s="131">
        <f>MIX!$B$7</f>
        <v>45</v>
      </c>
      <c r="C3" s="131" t="str">
        <f>IF($B3=0,"bye",VLOOKUP($B3,sez!$A$2:$D$259,2))</f>
        <v>Kotásková Julie</v>
      </c>
      <c r="D3" s="131" t="str">
        <f>IF($B3=0,"",VLOOKUP($B3,sez!$A$2:$D$259,4))</f>
        <v>TJ Mikulčice</v>
      </c>
      <c r="E3" s="131">
        <f>MIX!$B$8</f>
        <v>26</v>
      </c>
      <c r="F3" s="131" t="str">
        <f>IF($E3="","bye",VLOOKUP($E3,sez!$A$2:$D$259,2))</f>
        <v>Kmenta Josef</v>
      </c>
      <c r="G3" s="131" t="str">
        <f>IF($E3="","",VLOOKUP($E3,sez!$A$2:$D$259,4))</f>
        <v>SKST Hodonín</v>
      </c>
      <c r="H3" s="131">
        <f>MIX!$B$9</f>
        <v>48</v>
      </c>
      <c r="I3" s="131" t="str">
        <f>IF($H3=0,"bye",VLOOKUP($H3,sez!$A$2:$D$259,2))</f>
        <v>Bařinová Tereza</v>
      </c>
      <c r="J3" s="131" t="str">
        <f>IF($H3=0,"",VLOOKUP($H3,sez!$A$2:$D$259,4))</f>
        <v>Agrotec Hustopeče</v>
      </c>
      <c r="K3" s="131">
        <f>MIX!$B$10</f>
        <v>15</v>
      </c>
      <c r="L3" s="131" t="str">
        <f>IF($K3="","bye",VLOOKUP($K3,sez!$A$2:$D$259,2))</f>
        <v>Samson Hynek</v>
      </c>
      <c r="M3" s="131" t="str">
        <f>IF($K3="","",VLOOKUP($K3,sez!$A$2:$D$259,4))</f>
        <v>Agrotec Hustopeče</v>
      </c>
      <c r="N3" s="66" t="s">
        <v>122</v>
      </c>
      <c r="O3" s="67" t="s">
        <v>137</v>
      </c>
      <c r="P3" s="67" t="s">
        <v>120</v>
      </c>
      <c r="Q3" s="67"/>
      <c r="R3" s="68"/>
      <c r="S3" s="2">
        <f>COUNTIF(AB3:AF3,"&gt;0")</f>
        <v>1</v>
      </c>
      <c r="T3" s="2">
        <f>COUNTIF(AB3:AF3,"&lt;0")</f>
        <v>2</v>
      </c>
      <c r="U3" s="2">
        <f t="shared" si="0"/>
        <v>48</v>
      </c>
      <c r="V3" s="2" t="str">
        <f>IF($U3=0,"",VLOOKUP($U3,sez!$A$2:$D$259,2))</f>
        <v>Bařinová Tereza</v>
      </c>
      <c r="W3" s="2">
        <f t="shared" si="1"/>
        <v>15</v>
      </c>
      <c r="X3" s="2" t="str">
        <f>IF($W3=0,"",VLOOKUP($W3,sez!$A$2:$D$259,2))</f>
        <v>Samson Hynek</v>
      </c>
      <c r="Y3" s="2" t="str">
        <f>IF(S3=T3,"",IF(S3&gt;T3,CONCATENATE(S3,":",T3," (",N3,",",O3,",",P3,IF(SUM(S3:T3)&gt;3,",",""),Q3,IF(SUM(S3:T3)&gt;4,",",""),R3,")"),CONCATENATE(T3,":",S3," (",-N3,",",-O3,",",-P3,IF(SUM(S3:T3)&gt;3,",",""),IF(SUM(S3:T3)&gt;3,-Q3,""),IF(SUM(S3:T3)&gt;4,",",""),IF(SUM(S3:T3)&gt;4,-R3,""),")")))</f>
        <v>2:1 (-10,6,9)</v>
      </c>
      <c r="Z3" s="2">
        <f aca="true" t="shared" si="3" ref="Z3:Z9">IF(MAX(S3:T3)=3,Y3,"")</f>
      </c>
      <c r="AB3" s="25">
        <f t="shared" si="2"/>
        <v>1</v>
      </c>
      <c r="AC3" s="25">
        <f t="shared" si="2"/>
        <v>-1</v>
      </c>
      <c r="AD3" s="25">
        <f t="shared" si="2"/>
        <v>-1</v>
      </c>
      <c r="AE3" s="25">
        <f t="shared" si="2"/>
        <v>0</v>
      </c>
      <c r="AF3" s="25">
        <f t="shared" si="2"/>
        <v>0</v>
      </c>
    </row>
    <row r="4" spans="1:32" ht="12.75">
      <c r="A4" s="131" t="str">
        <f>CONCATENATE("MIX ",úvod!$C$8," - 1.kolo")</f>
        <v>MIX U13 - 1.kolo</v>
      </c>
      <c r="B4" s="131">
        <f>MIX!$B$11</f>
        <v>43</v>
      </c>
      <c r="C4" s="131" t="str">
        <f>IF($B4=0,"bye",VLOOKUP($B4,sez!$A$2:$D$259,2))</f>
        <v>Struhárová Jana</v>
      </c>
      <c r="D4" s="131" t="str">
        <f>IF($B4=0,"",VLOOKUP($B4,sez!$A$2:$D$259,4))</f>
        <v>MSK Břeclav</v>
      </c>
      <c r="E4" s="131">
        <f>MIX!$B$12</f>
        <v>12</v>
      </c>
      <c r="F4" s="131" t="str">
        <f>IF($E4="","bye",VLOOKUP($E4,sez!$A$2:$D$259,2))</f>
        <v>Jež Vítek</v>
      </c>
      <c r="G4" s="131" t="str">
        <f>IF($E4="","",VLOOKUP($E4,sez!$A$2:$D$259,4))</f>
        <v>STP Mikulov</v>
      </c>
      <c r="H4" s="131">
        <f>MIX!$B$13</f>
        <v>52</v>
      </c>
      <c r="I4" s="131" t="str">
        <f>IF($H4=0,"bye",VLOOKUP($H4,sez!$A$2:$D$259,2))</f>
        <v>Svobodová Kristýna</v>
      </c>
      <c r="J4" s="131" t="str">
        <f>IF($H4=0,"",VLOOKUP($H4,sez!$A$2:$D$259,4))</f>
        <v>TJ Jiskra Strážnice</v>
      </c>
      <c r="K4" s="131">
        <f>MIX!$B$14</f>
        <v>32</v>
      </c>
      <c r="L4" s="131" t="str">
        <f>IF($K4="","bye",VLOOKUP($K4,sez!$A$2:$D$259,2))</f>
        <v>Peťura Patrik</v>
      </c>
      <c r="M4" s="131" t="str">
        <f>IF($K4="","",VLOOKUP($K4,sez!$A$2:$D$259,4))</f>
        <v>TJ Jiskra Strážnice</v>
      </c>
      <c r="N4" s="66" t="s">
        <v>131</v>
      </c>
      <c r="O4" s="67" t="s">
        <v>131</v>
      </c>
      <c r="P4" s="67" t="s">
        <v>121</v>
      </c>
      <c r="Q4" s="67"/>
      <c r="R4" s="68"/>
      <c r="S4" s="2">
        <f aca="true" t="shared" si="4" ref="S4:S9">COUNTIF(AB4:AF4,"&gt;0")</f>
        <v>3</v>
      </c>
      <c r="T4" s="2">
        <f aca="true" t="shared" si="5" ref="T4:T9">COUNTIF(AB4:AF4,"&lt;0")</f>
        <v>0</v>
      </c>
      <c r="U4" s="2">
        <f t="shared" si="0"/>
        <v>43</v>
      </c>
      <c r="V4" s="2" t="str">
        <f>IF($U4=0,"",VLOOKUP($U4,sez!$A$2:$D$259,2))</f>
        <v>Struhárová Jana</v>
      </c>
      <c r="W4" s="2">
        <f t="shared" si="1"/>
        <v>12</v>
      </c>
      <c r="X4" s="2" t="str">
        <f>IF($W4=0,"",VLOOKUP($W4,sez!$A$2:$D$259,2))</f>
        <v>Jež Vítek</v>
      </c>
      <c r="Y4" s="2" t="str">
        <f aca="true" t="shared" si="6" ref="Y4:Y9">IF(S4=T4,"",IF(S4&gt;T4,CONCATENATE(S4,":",T4," (",N4,",",O4,",",P4,IF(SUM(S4:T4)&gt;3,",",""),Q4,IF(SUM(S4:T4)&gt;4,",",""),R4,")"),CONCATENATE(T4,":",S4," (",-N4,",",-O4,",",-P4,IF(SUM(S4:T4)&gt;3,",",""),IF(SUM(S4:T4)&gt;3,-Q4,""),IF(SUM(S4:T4)&gt;4,",",""),IF(SUM(S4:T4)&gt;4,-R4,""),")")))</f>
        <v>3:0 (6,6,9)</v>
      </c>
      <c r="Z4" s="2" t="str">
        <f t="shared" si="3"/>
        <v>3:0 (6,6,9)</v>
      </c>
      <c r="AB4" s="25">
        <f aca="true" t="shared" si="7" ref="AB4:AB9">IF(N4="",0,IF(MID(N4,1,1)="-",-1,1))</f>
        <v>1</v>
      </c>
      <c r="AC4" s="25">
        <f aca="true" t="shared" si="8" ref="AC4:AC9">IF(O4="",0,IF(MID(O4,1,1)="-",-1,1))</f>
        <v>1</v>
      </c>
      <c r="AD4" s="25">
        <f aca="true" t="shared" si="9" ref="AD4:AD9">IF(P4="",0,IF(MID(P4,1,1)="-",-1,1))</f>
        <v>1</v>
      </c>
      <c r="AE4" s="25">
        <f aca="true" t="shared" si="10" ref="AE4:AE9">IF(Q4="",0,IF(MID(Q4,1,1)="-",-1,1))</f>
        <v>0</v>
      </c>
      <c r="AF4" s="25">
        <f aca="true" t="shared" si="11" ref="AF4:AF9">IF(R4="",0,IF(MID(R4,1,1)="-",-1,1))</f>
        <v>0</v>
      </c>
    </row>
    <row r="5" spans="1:32" ht="12.75">
      <c r="A5" s="131" t="str">
        <f>CONCATENATE("MIX ",úvod!$C$8," - 1.kolo")</f>
        <v>MIX U13 - 1.kolo</v>
      </c>
      <c r="B5" s="131">
        <f>MIX!$B$15</f>
        <v>55</v>
      </c>
      <c r="C5" s="131" t="str">
        <f>IF($B5=0,"bye",VLOOKUP($B5,sez!$A$2:$D$259,2))</f>
        <v>Trávníčková Eliška</v>
      </c>
      <c r="D5" s="131" t="str">
        <f>IF($B5=0,"",VLOOKUP($B5,sez!$A$2:$D$259,4))</f>
        <v>TJ Brno-Bystrc</v>
      </c>
      <c r="E5" s="131">
        <f>MIX!$B$16</f>
        <v>14</v>
      </c>
      <c r="F5" s="131" t="str">
        <f>IF($E5="","bye",VLOOKUP($E5,sez!$A$2:$D$259,2))</f>
        <v>Strnad Mikuláš</v>
      </c>
      <c r="G5" s="131" t="str">
        <f>IF($E5="","",VLOOKUP($E5,sez!$A$2:$D$259,4))</f>
        <v>Sokol Brno I</v>
      </c>
      <c r="H5" s="131">
        <f>MIX!$B$17</f>
        <v>42</v>
      </c>
      <c r="I5" s="131" t="str">
        <f>IF($H5=0,"bye",VLOOKUP($H5,sez!$A$2:$D$259,2))</f>
        <v>Báťková Pavlína</v>
      </c>
      <c r="J5" s="131" t="str">
        <f>IF($H5=0,"",VLOOKUP($H5,sez!$A$2:$D$259,4))</f>
        <v>SKST Hodonín</v>
      </c>
      <c r="K5" s="131">
        <f>MIX!$B$18</f>
        <v>9</v>
      </c>
      <c r="L5" s="131" t="str">
        <f>IF($K5="","bye",VLOOKUP($K5,sez!$A$2:$D$259,2))</f>
        <v>Macánek Martin</v>
      </c>
      <c r="M5" s="131" t="str">
        <f>IF($K5="","",VLOOKUP($K5,sez!$A$2:$D$259,4))</f>
        <v>SKST Hodonín</v>
      </c>
      <c r="N5" s="66" t="s">
        <v>137</v>
      </c>
      <c r="O5" s="67" t="s">
        <v>133</v>
      </c>
      <c r="P5" s="67" t="s">
        <v>120</v>
      </c>
      <c r="Q5" s="67"/>
      <c r="R5" s="68"/>
      <c r="S5" s="2">
        <f t="shared" si="4"/>
        <v>0</v>
      </c>
      <c r="T5" s="2">
        <f t="shared" si="5"/>
        <v>3</v>
      </c>
      <c r="U5" s="2">
        <f t="shared" si="0"/>
        <v>42</v>
      </c>
      <c r="V5" s="2" t="str">
        <f>IF($U5=0,"",VLOOKUP($U5,sez!$A$2:$D$259,2))</f>
        <v>Báťková Pavlína</v>
      </c>
      <c r="W5" s="2">
        <f t="shared" si="1"/>
        <v>9</v>
      </c>
      <c r="X5" s="2" t="str">
        <f>IF($W5=0,"",VLOOKUP($W5,sez!$A$2:$D$259,2))</f>
        <v>Macánek Martin</v>
      </c>
      <c r="Y5" s="2" t="str">
        <f t="shared" si="6"/>
        <v>3:0 (6,8,9)</v>
      </c>
      <c r="Z5" s="2" t="str">
        <f t="shared" si="3"/>
        <v>3:0 (6,8,9)</v>
      </c>
      <c r="AB5" s="25">
        <f t="shared" si="7"/>
        <v>-1</v>
      </c>
      <c r="AC5" s="25">
        <f t="shared" si="8"/>
        <v>-1</v>
      </c>
      <c r="AD5" s="25">
        <f t="shared" si="9"/>
        <v>-1</v>
      </c>
      <c r="AE5" s="25">
        <f t="shared" si="10"/>
        <v>0</v>
      </c>
      <c r="AF5" s="25">
        <f t="shared" si="11"/>
        <v>0</v>
      </c>
    </row>
    <row r="6" spans="1:32" ht="12.75">
      <c r="A6" s="131" t="str">
        <f>CONCATENATE("MIX ",úvod!$C$8," - 1.kolo")</f>
        <v>MIX U13 - 1.kolo</v>
      </c>
      <c r="B6" s="131">
        <f>MIX!$B$19</f>
        <v>47</v>
      </c>
      <c r="C6" s="131" t="str">
        <f>IF($B6=0,"bye",VLOOKUP($B6,sez!$A$2:$D$259,2))</f>
        <v>Zechmeisterová Rebeka</v>
      </c>
      <c r="D6" s="131" t="str">
        <f>IF($B6=0,"",VLOOKUP($B6,sez!$A$2:$D$259,4))</f>
        <v>KST FOSFA LVA</v>
      </c>
      <c r="E6" s="131">
        <f>MIX!$B$20</f>
        <v>7</v>
      </c>
      <c r="F6" s="131" t="str">
        <f>IF($E6="","bye",VLOOKUP($E6,sez!$A$2:$D$259,2))</f>
        <v>Herman Jan</v>
      </c>
      <c r="G6" s="131" t="str">
        <f>IF($E6="","",VLOOKUP($E6,sez!$A$2:$D$259,4))</f>
        <v>KST FOSFA LVA</v>
      </c>
      <c r="H6" s="131">
        <f>MIX!$B$21</f>
        <v>50</v>
      </c>
      <c r="I6" s="131" t="str">
        <f>IF($H6=0,"bye",VLOOKUP($H6,sez!$A$2:$D$259,2))</f>
        <v>Zídková Madlen</v>
      </c>
      <c r="J6" s="131" t="str">
        <f>IF($H6=0,"",VLOOKUP($H6,sez!$A$2:$D$259,4))</f>
        <v>MSK Břeclav</v>
      </c>
      <c r="K6" s="131">
        <f>MIX!$B$22</f>
        <v>13</v>
      </c>
      <c r="L6" s="131" t="str">
        <f>IF($K6="","bye",VLOOKUP($K6,sez!$A$2:$D$259,2))</f>
        <v>Tuč Michal</v>
      </c>
      <c r="M6" s="131" t="str">
        <f>IF($K6="","",VLOOKUP($K6,sez!$A$2:$D$259,4))</f>
        <v>Sokol Brno I</v>
      </c>
      <c r="N6" s="66" t="s">
        <v>123</v>
      </c>
      <c r="O6" s="67" t="s">
        <v>121</v>
      </c>
      <c r="P6" s="67" t="s">
        <v>130</v>
      </c>
      <c r="Q6" s="67"/>
      <c r="R6" s="68"/>
      <c r="S6" s="2">
        <f t="shared" si="4"/>
        <v>3</v>
      </c>
      <c r="T6" s="2">
        <f t="shared" si="5"/>
        <v>0</v>
      </c>
      <c r="U6" s="2">
        <f t="shared" si="0"/>
        <v>47</v>
      </c>
      <c r="V6" s="2" t="str">
        <f>IF($U6=0,"",VLOOKUP($U6,sez!$A$2:$D$259,2))</f>
        <v>Zechmeisterová Rebeka</v>
      </c>
      <c r="W6" s="2">
        <f t="shared" si="1"/>
        <v>7</v>
      </c>
      <c r="X6" s="2" t="str">
        <f>IF($W6=0,"",VLOOKUP($W6,sez!$A$2:$D$259,2))</f>
        <v>Herman Jan</v>
      </c>
      <c r="Y6" s="2" t="str">
        <f t="shared" si="6"/>
        <v>3:0 (5,9,8)</v>
      </c>
      <c r="Z6" s="2" t="str">
        <f t="shared" si="3"/>
        <v>3:0 (5,9,8)</v>
      </c>
      <c r="AB6" s="25">
        <f t="shared" si="7"/>
        <v>1</v>
      </c>
      <c r="AC6" s="25">
        <f t="shared" si="8"/>
        <v>1</v>
      </c>
      <c r="AD6" s="25">
        <f t="shared" si="9"/>
        <v>1</v>
      </c>
      <c r="AE6" s="25">
        <f t="shared" si="10"/>
        <v>0</v>
      </c>
      <c r="AF6" s="25">
        <f t="shared" si="11"/>
        <v>0</v>
      </c>
    </row>
    <row r="7" spans="1:32" ht="12.75">
      <c r="A7" s="131" t="str">
        <f>CONCATENATE("MIX ",úvod!$C$8," - 1.kolo")</f>
        <v>MIX U13 - 1.kolo</v>
      </c>
      <c r="B7" s="131">
        <f>MIX!$B$23</f>
        <v>53</v>
      </c>
      <c r="C7" s="131" t="str">
        <f>IF($B7=0,"bye",VLOOKUP($B7,sez!$A$2:$D$259,2))</f>
        <v>Tufová Laura</v>
      </c>
      <c r="D7" s="131" t="str">
        <f>IF($B7=0,"",VLOOKUP($B7,sez!$A$2:$D$259,4))</f>
        <v>SKST Hodonín</v>
      </c>
      <c r="E7" s="131">
        <f>MIX!$B$24</f>
        <v>21</v>
      </c>
      <c r="F7" s="131" t="str">
        <f>IF($E7="","bye",VLOOKUP($E7,sez!$A$2:$D$259,2))</f>
        <v>Sýkora Tomáš</v>
      </c>
      <c r="G7" s="131" t="str">
        <f>IF($E7="","",VLOOKUP($E7,sez!$A$2:$D$259,4))</f>
        <v>STP Mikulov</v>
      </c>
      <c r="H7" s="131">
        <f>MIX!$B$25</f>
        <v>51</v>
      </c>
      <c r="I7" s="131" t="str">
        <f>IF($H7=0,"bye",VLOOKUP($H7,sez!$A$2:$D$259,2))</f>
        <v>Křepelová Kamila</v>
      </c>
      <c r="J7" s="131" t="str">
        <f>IF($H7=0,"",VLOOKUP($H7,sez!$A$2:$D$259,4))</f>
        <v>STK Zbraslavec</v>
      </c>
      <c r="K7" s="131">
        <f>MIX!$B$26</f>
        <v>11</v>
      </c>
      <c r="L7" s="131" t="str">
        <f>IF($K7="","bye",VLOOKUP($K7,sez!$A$2:$D$259,2))</f>
        <v>Barták Lukáš</v>
      </c>
      <c r="M7" s="131" t="str">
        <f>IF($K7="","",VLOOKUP($K7,sez!$A$2:$D$259,4))</f>
        <v>KST Kunštát</v>
      </c>
      <c r="N7" s="66" t="s">
        <v>135</v>
      </c>
      <c r="O7" s="67" t="s">
        <v>132</v>
      </c>
      <c r="P7" s="67" t="s">
        <v>130</v>
      </c>
      <c r="Q7" s="67" t="s">
        <v>130</v>
      </c>
      <c r="R7" s="68"/>
      <c r="S7" s="2">
        <f t="shared" si="4"/>
        <v>3</v>
      </c>
      <c r="T7" s="2">
        <f t="shared" si="5"/>
        <v>1</v>
      </c>
      <c r="U7" s="2">
        <f t="shared" si="0"/>
        <v>53</v>
      </c>
      <c r="V7" s="2" t="str">
        <f>IF($U7=0,"",VLOOKUP($U7,sez!$A$2:$D$259,2))</f>
        <v>Tufová Laura</v>
      </c>
      <c r="W7" s="2">
        <f t="shared" si="1"/>
        <v>21</v>
      </c>
      <c r="X7" s="2" t="str">
        <f>IF($W7=0,"",VLOOKUP($W7,sez!$A$2:$D$259,2))</f>
        <v>Sýkora Tomáš</v>
      </c>
      <c r="Y7" s="2" t="str">
        <f t="shared" si="6"/>
        <v>3:1 (-5,3,8,8)</v>
      </c>
      <c r="Z7" s="2" t="str">
        <f t="shared" si="3"/>
        <v>3:1 (-5,3,8,8)</v>
      </c>
      <c r="AB7" s="25">
        <f t="shared" si="7"/>
        <v>-1</v>
      </c>
      <c r="AC7" s="25">
        <f t="shared" si="8"/>
        <v>1</v>
      </c>
      <c r="AD7" s="25">
        <f t="shared" si="9"/>
        <v>1</v>
      </c>
      <c r="AE7" s="25">
        <f t="shared" si="10"/>
        <v>1</v>
      </c>
      <c r="AF7" s="25">
        <f t="shared" si="11"/>
        <v>0</v>
      </c>
    </row>
    <row r="8" spans="1:32" ht="12.75">
      <c r="A8" s="131" t="str">
        <f>CONCATENATE("MIX ",úvod!$C$8," - 1.kolo")</f>
        <v>MIX U13 - 1.kolo</v>
      </c>
      <c r="B8" s="131">
        <f>MIX!$B$27</f>
        <v>49</v>
      </c>
      <c r="C8" s="131" t="str">
        <f>IF($B8=0,"bye",VLOOKUP($B8,sez!$A$2:$D$259,2))</f>
        <v>Bravencová Karolína</v>
      </c>
      <c r="D8" s="131" t="str">
        <f>IF($B8=0,"",VLOOKUP($B8,sez!$A$2:$D$259,4))</f>
        <v>Josefov</v>
      </c>
      <c r="E8" s="131">
        <f>MIX!$B$28</f>
        <v>6</v>
      </c>
      <c r="F8" s="131" t="str">
        <f>IF($E8="","bye",VLOOKUP($E8,sez!$A$2:$D$259,2))</f>
        <v>Koudelka David</v>
      </c>
      <c r="G8" s="131" t="str">
        <f>IF($E8="","",VLOOKUP($E8,sez!$A$2:$D$259,4))</f>
        <v>MS Brno</v>
      </c>
      <c r="H8" s="131">
        <f>MIX!$B$29</f>
        <v>46</v>
      </c>
      <c r="I8" s="131" t="str">
        <f>IF($H8=0,"bye",VLOOKUP($H8,sez!$A$2:$D$259,2))</f>
        <v>Polanská Claudia</v>
      </c>
      <c r="J8" s="131" t="str">
        <f>IF($H8=0,"",VLOOKUP($H8,sez!$A$2:$D$259,4))</f>
        <v>KST FOSFA LVA</v>
      </c>
      <c r="K8" s="131">
        <f>MIX!$B$30</f>
        <v>24</v>
      </c>
      <c r="L8" s="131" t="str">
        <f>IF($K8="","bye",VLOOKUP($K8,sez!$A$2:$D$259,2))</f>
        <v>Le Phuoc Vu</v>
      </c>
      <c r="M8" s="131" t="str">
        <f>IF($K8="","",VLOOKUP($K8,sez!$A$2:$D$259,4))</f>
        <v>Sokol Znojmo-Orel Únanov</v>
      </c>
      <c r="N8" s="66" t="s">
        <v>121</v>
      </c>
      <c r="O8" s="67" t="s">
        <v>133</v>
      </c>
      <c r="P8" s="67" t="s">
        <v>137</v>
      </c>
      <c r="Q8" s="67" t="s">
        <v>120</v>
      </c>
      <c r="R8" s="68"/>
      <c r="S8" s="2">
        <f t="shared" si="4"/>
        <v>1</v>
      </c>
      <c r="T8" s="2">
        <f t="shared" si="5"/>
        <v>3</v>
      </c>
      <c r="U8" s="2">
        <f t="shared" si="0"/>
        <v>46</v>
      </c>
      <c r="V8" s="2" t="str">
        <f>IF($U8=0,"",VLOOKUP($U8,sez!$A$2:$D$259,2))</f>
        <v>Polanská Claudia</v>
      </c>
      <c r="W8" s="2">
        <f t="shared" si="1"/>
        <v>24</v>
      </c>
      <c r="X8" s="2" t="str">
        <f>IF($W8=0,"",VLOOKUP($W8,sez!$A$2:$D$259,2))</f>
        <v>Le Phuoc Vu</v>
      </c>
      <c r="Y8" s="2" t="str">
        <f t="shared" si="6"/>
        <v>3:1 (-9,8,6,9)</v>
      </c>
      <c r="Z8" s="2" t="str">
        <f t="shared" si="3"/>
        <v>3:1 (-9,8,6,9)</v>
      </c>
      <c r="AB8" s="25">
        <f t="shared" si="7"/>
        <v>1</v>
      </c>
      <c r="AC8" s="25">
        <f t="shared" si="8"/>
        <v>-1</v>
      </c>
      <c r="AD8" s="25">
        <f t="shared" si="9"/>
        <v>-1</v>
      </c>
      <c r="AE8" s="25">
        <f t="shared" si="10"/>
        <v>-1</v>
      </c>
      <c r="AF8" s="25">
        <f t="shared" si="11"/>
        <v>0</v>
      </c>
    </row>
    <row r="9" spans="1:32" ht="13.5" thickBot="1">
      <c r="A9" s="131" t="str">
        <f>CONCATENATE("MIX ",úvod!$C$8," - 1.kolo")</f>
        <v>MIX U13 - 1.kolo</v>
      </c>
      <c r="B9" s="131">
        <f>MIX!$B$31</f>
        <v>56</v>
      </c>
      <c r="C9" s="131" t="str">
        <f>IF($B9=0,"bye",VLOOKUP($B9,sez!$A$2:$D$259,2))</f>
        <v>Hanáčková Lucie</v>
      </c>
      <c r="D9" s="131" t="str">
        <f>IF($B9=0,"",VLOOKUP($B9,sez!$A$2:$D$259,4))</f>
        <v>MK Řeznovice</v>
      </c>
      <c r="E9" s="131">
        <f>MIX!$B$32</f>
        <v>30</v>
      </c>
      <c r="F9" s="131" t="str">
        <f>IF($E9="","bye",VLOOKUP($E9,sez!$A$2:$D$259,2))</f>
        <v>Kouřil Antonín</v>
      </c>
      <c r="G9" s="131" t="str">
        <f>IF($E9="","",VLOOKUP($E9,sez!$A$2:$D$259,4))</f>
        <v>MK Řeznovice</v>
      </c>
      <c r="H9" s="131">
        <f>MIX!$B$33</f>
        <v>44</v>
      </c>
      <c r="I9" s="131" t="str">
        <f>IF($H9=0,"bye",VLOOKUP($H9,sez!$A$2:$D$259,2))</f>
        <v>Machová Adélka</v>
      </c>
      <c r="J9" s="131" t="str">
        <f>IF($H9=0,"",VLOOKUP($H9,sez!$A$2:$D$259,4))</f>
        <v>STP Mikulov</v>
      </c>
      <c r="K9" s="131">
        <f>MIX!$B$34</f>
        <v>4</v>
      </c>
      <c r="L9" s="131" t="str">
        <f>IF($K9="","bye",VLOOKUP($K9,sez!$A$2:$D$259,2))</f>
        <v>Štěpánek Adam</v>
      </c>
      <c r="M9" s="131" t="str">
        <f>IF($K9="","",VLOOKUP($K9,sez!$A$2:$D$259,4))</f>
        <v>STP Mikulov</v>
      </c>
      <c r="N9" s="69" t="s">
        <v>135</v>
      </c>
      <c r="O9" s="70" t="s">
        <v>135</v>
      </c>
      <c r="P9" s="70" t="s">
        <v>121</v>
      </c>
      <c r="Q9" s="70" t="s">
        <v>124</v>
      </c>
      <c r="R9" s="71"/>
      <c r="S9" s="2">
        <f t="shared" si="4"/>
        <v>1</v>
      </c>
      <c r="T9" s="2">
        <f t="shared" si="5"/>
        <v>3</v>
      </c>
      <c r="U9" s="2">
        <f t="shared" si="0"/>
        <v>44</v>
      </c>
      <c r="V9" s="2" t="str">
        <f>IF($U9=0,"",VLOOKUP($U9,sez!$A$2:$D$259,2))</f>
        <v>Machová Adélka</v>
      </c>
      <c r="W9" s="2">
        <f t="shared" si="1"/>
        <v>4</v>
      </c>
      <c r="X9" s="2" t="str">
        <f>IF($W9=0,"",VLOOKUP($W9,sez!$A$2:$D$259,2))</f>
        <v>Štěpánek Adam</v>
      </c>
      <c r="Y9" s="2" t="str">
        <f t="shared" si="6"/>
        <v>3:1 (5,5,-9,7)</v>
      </c>
      <c r="Z9" s="2" t="str">
        <f t="shared" si="3"/>
        <v>3:1 (5,5,-9,7)</v>
      </c>
      <c r="AB9" s="25">
        <f t="shared" si="7"/>
        <v>-1</v>
      </c>
      <c r="AC9" s="25">
        <f t="shared" si="8"/>
        <v>-1</v>
      </c>
      <c r="AD9" s="25">
        <f t="shared" si="9"/>
        <v>1</v>
      </c>
      <c r="AE9" s="25">
        <f t="shared" si="10"/>
        <v>-1</v>
      </c>
      <c r="AF9" s="25">
        <f t="shared" si="11"/>
        <v>0</v>
      </c>
    </row>
    <row r="10" spans="14:18" ht="14.25" thickBot="1" thickTop="1">
      <c r="N10" s="19"/>
      <c r="O10" s="19"/>
      <c r="P10" s="19"/>
      <c r="Q10" s="19"/>
      <c r="R10" s="19"/>
    </row>
    <row r="11" spans="1:32" ht="13.5" thickTop="1">
      <c r="A11" s="2" t="str">
        <f>CONCATENATE("MIX ",úvod!$C$8," - 2.kolo")</f>
        <v>MIX U13 - 2.kolo</v>
      </c>
      <c r="B11" s="2">
        <f>U2</f>
        <v>41</v>
      </c>
      <c r="C11" s="103" t="str">
        <f>IF($B11=0,"",VLOOKUP($B11,sez!$A$2:$D$259,2))</f>
        <v>Cupáková Bára</v>
      </c>
      <c r="D11" s="103" t="str">
        <f>IF($B11=0,"",VLOOKUP($B11,sez!$A$2:$D$259,4))</f>
        <v>KST FOSFA LVA</v>
      </c>
      <c r="E11" s="103">
        <f>W2</f>
        <v>3</v>
      </c>
      <c r="F11" s="103" t="str">
        <f>IF($E11=0,"",VLOOKUP($E11,sez!$A$2:$D$259,2))</f>
        <v>Cupák Jakub</v>
      </c>
      <c r="G11" s="103" t="str">
        <f>IF($E11=0,"",VLOOKUP($E11,sez!$A$2:$D$259,4))</f>
        <v>KST FOSFA LVA</v>
      </c>
      <c r="H11" s="103">
        <f>U3</f>
        <v>48</v>
      </c>
      <c r="I11" s="103" t="str">
        <f>IF($H11=0,"",VLOOKUP($H11,sez!$A$2:$D$259,2))</f>
        <v>Bařinová Tereza</v>
      </c>
      <c r="J11" s="103" t="str">
        <f>IF($H11=0,"",VLOOKUP($H11,sez!$A$2:$D$259,4))</f>
        <v>Agrotec Hustopeče</v>
      </c>
      <c r="K11" s="103">
        <f>W3</f>
        <v>15</v>
      </c>
      <c r="L11" s="103" t="str">
        <f>IF($K11=0,"",VLOOKUP($K11,sez!$A$2:$D$259,2))</f>
        <v>Samson Hynek</v>
      </c>
      <c r="M11" s="2" t="str">
        <f>IF($K11=0,"",VLOOKUP($K11,sez!$A$2:$D$259,4))</f>
        <v>Agrotec Hustopeče</v>
      </c>
      <c r="N11" s="63" t="s">
        <v>121</v>
      </c>
      <c r="O11" s="64" t="s">
        <v>130</v>
      </c>
      <c r="P11" s="64" t="s">
        <v>130</v>
      </c>
      <c r="Q11" s="64"/>
      <c r="R11" s="65"/>
      <c r="S11" s="2">
        <f>COUNTIF(AB11:AF11,"&gt;0")</f>
        <v>3</v>
      </c>
      <c r="T11" s="2">
        <f>COUNTIF(AB11:AF11,"&lt;0")</f>
        <v>0</v>
      </c>
      <c r="U11" s="2">
        <f>IF(S11=T11,0,IF(S11&gt;T11,B11,H11))</f>
        <v>41</v>
      </c>
      <c r="V11" s="2" t="str">
        <f>IF($U11=0,"",VLOOKUP($U11,sez!$A$2:$D$259,2))</f>
        <v>Cupáková Bára</v>
      </c>
      <c r="W11" s="2">
        <f>IF(S11=T11,0,IF(S11&gt;T11,E11,K11))</f>
        <v>3</v>
      </c>
      <c r="X11" s="2" t="str">
        <f>IF($W11=0,"",VLOOKUP($W11,sez!$A$2:$D$259,2))</f>
        <v>Cupák Jakub</v>
      </c>
      <c r="Y11" s="2" t="str">
        <f>IF(S11=T11,"",IF(S11&gt;T11,CONCATENATE(S11,":",T11," (",N11,",",O11,",",P11,IF(SUM(S11:T11)&gt;3,",",""),Q11,IF(SUM(S11:T11)&gt;4,",",""),R11,")"),CONCATENATE(T11,":",S11," (",-N11,",",-O11,",",-P11,IF(SUM(S11:T11)&gt;3,",",""),IF(SUM(S11:T11)&gt;3,-Q11,""),IF(SUM(S11:T11)&gt;4,",",""),IF(SUM(S11:T11)&gt;4,-R11,""),")")))</f>
        <v>3:0 (9,8,8)</v>
      </c>
      <c r="Z11" s="2" t="str">
        <f>IF(MAX(S11:T11)=3,Y11,"")</f>
        <v>3:0 (9,8,8)</v>
      </c>
      <c r="AB11" s="25">
        <f aca="true" t="shared" si="12" ref="AB11:AF14">IF(N11="",0,IF(MID(N11,1,1)="-",-1,1))</f>
        <v>1</v>
      </c>
      <c r="AC11" s="25">
        <f t="shared" si="12"/>
        <v>1</v>
      </c>
      <c r="AD11" s="25">
        <f t="shared" si="12"/>
        <v>1</v>
      </c>
      <c r="AE11" s="25">
        <f t="shared" si="12"/>
        <v>0</v>
      </c>
      <c r="AF11" s="25">
        <f t="shared" si="12"/>
        <v>0</v>
      </c>
    </row>
    <row r="12" spans="1:32" ht="12.75">
      <c r="A12" s="2" t="str">
        <f>CONCATENATE("MIX ",úvod!$C$8," - 2.kolo")</f>
        <v>MIX U13 - 2.kolo</v>
      </c>
      <c r="B12" s="2">
        <f>U4</f>
        <v>43</v>
      </c>
      <c r="C12" s="103" t="str">
        <f>IF($B12=0,"",VLOOKUP($B12,sez!$A$2:$D$259,2))</f>
        <v>Struhárová Jana</v>
      </c>
      <c r="D12" s="103" t="str">
        <f>IF($B12=0,"",VLOOKUP($B12,sez!$A$2:$D$259,4))</f>
        <v>MSK Břeclav</v>
      </c>
      <c r="E12" s="103">
        <f>W4</f>
        <v>12</v>
      </c>
      <c r="F12" s="103" t="str">
        <f>IF($E12=0,"",VLOOKUP($E12,sez!$A$2:$D$259,2))</f>
        <v>Jež Vítek</v>
      </c>
      <c r="G12" s="103" t="str">
        <f>IF($E12=0,"",VLOOKUP($E12,sez!$A$2:$D$259,4))</f>
        <v>STP Mikulov</v>
      </c>
      <c r="H12" s="103">
        <f>U5</f>
        <v>42</v>
      </c>
      <c r="I12" s="103" t="str">
        <f>IF($H12=0,"",VLOOKUP($H12,sez!$A$2:$D$259,2))</f>
        <v>Báťková Pavlína</v>
      </c>
      <c r="J12" s="103" t="str">
        <f>IF($H12=0,"",VLOOKUP($H12,sez!$A$2:$D$259,4))</f>
        <v>SKST Hodonín</v>
      </c>
      <c r="K12" s="103">
        <f>W5</f>
        <v>9</v>
      </c>
      <c r="L12" s="103" t="str">
        <f>IF($K12=0,"",VLOOKUP($K12,sez!$A$2:$D$259,2))</f>
        <v>Macánek Martin</v>
      </c>
      <c r="M12" s="2" t="str">
        <f>IF($K12=0,"",VLOOKUP($K12,sez!$A$2:$D$259,4))</f>
        <v>SKST Hodonín</v>
      </c>
      <c r="N12" s="66" t="s">
        <v>121</v>
      </c>
      <c r="O12" s="67" t="s">
        <v>124</v>
      </c>
      <c r="P12" s="67" t="s">
        <v>126</v>
      </c>
      <c r="Q12" s="67" t="s">
        <v>137</v>
      </c>
      <c r="R12" s="68"/>
      <c r="S12" s="2">
        <f>COUNTIF(AB12:AF12,"&gt;0")</f>
        <v>1</v>
      </c>
      <c r="T12" s="2">
        <f>COUNTIF(AB12:AF12,"&lt;0")</f>
        <v>3</v>
      </c>
      <c r="U12" s="2">
        <f>IF(S12=T12,0,IF(S12&gt;T12,B12,H12))</f>
        <v>42</v>
      </c>
      <c r="V12" s="2" t="str">
        <f>IF($U12=0,"",VLOOKUP($U12,sez!$A$2:$D$259,2))</f>
        <v>Báťková Pavlína</v>
      </c>
      <c r="W12" s="2">
        <f>IF(S12=T12,0,IF(S12&gt;T12,E12,K12))</f>
        <v>9</v>
      </c>
      <c r="X12" s="2" t="str">
        <f>IF($W12=0,"",VLOOKUP($W12,sez!$A$2:$D$259,2))</f>
        <v>Macánek Martin</v>
      </c>
      <c r="Y12" s="2" t="str">
        <f>IF(S12=T12,"",IF(S12&gt;T12,CONCATENATE(S12,":",T12," (",N12,",",O12,",",P12,IF(SUM(S12:T12)&gt;3,",",""),Q12,IF(SUM(S12:T12)&gt;4,",",""),R12,")"),CONCATENATE(T12,":",S12," (",-N12,",",-O12,",",-P12,IF(SUM(S12:T12)&gt;3,",",""),IF(SUM(S12:T12)&gt;3,-Q12,""),IF(SUM(S12:T12)&gt;4,",",""),IF(SUM(S12:T12)&gt;4,-R12,""),")")))</f>
        <v>3:1 (-9,7,4,6)</v>
      </c>
      <c r="Z12" s="2" t="str">
        <f>IF(MAX(S12:T12)=3,Y12,"")</f>
        <v>3:1 (-9,7,4,6)</v>
      </c>
      <c r="AB12" s="25">
        <f t="shared" si="12"/>
        <v>1</v>
      </c>
      <c r="AC12" s="25">
        <f t="shared" si="12"/>
        <v>-1</v>
      </c>
      <c r="AD12" s="25">
        <f t="shared" si="12"/>
        <v>-1</v>
      </c>
      <c r="AE12" s="25">
        <f t="shared" si="12"/>
        <v>-1</v>
      </c>
      <c r="AF12" s="25">
        <f t="shared" si="12"/>
        <v>0</v>
      </c>
    </row>
    <row r="13" spans="1:32" ht="12.75">
      <c r="A13" s="2" t="str">
        <f>CONCATENATE("MIX ",úvod!$C$8," - 2.kolo")</f>
        <v>MIX U13 - 2.kolo</v>
      </c>
      <c r="B13" s="2">
        <f>U6</f>
        <v>47</v>
      </c>
      <c r="C13" s="103" t="str">
        <f>IF($B13=0,"",VLOOKUP($B13,sez!$A$2:$D$259,2))</f>
        <v>Zechmeisterová Rebeka</v>
      </c>
      <c r="D13" s="103" t="str">
        <f>IF($B13=0,"",VLOOKUP($B13,sez!$A$2:$D$259,4))</f>
        <v>KST FOSFA LVA</v>
      </c>
      <c r="E13" s="103">
        <f>W6</f>
        <v>7</v>
      </c>
      <c r="F13" s="103" t="str">
        <f>IF($E13=0,"",VLOOKUP($E13,sez!$A$2:$D$259,2))</f>
        <v>Herman Jan</v>
      </c>
      <c r="G13" s="103" t="str">
        <f>IF($E13=0,"",VLOOKUP($E13,sez!$A$2:$D$259,4))</f>
        <v>KST FOSFA LVA</v>
      </c>
      <c r="H13" s="103">
        <f>U7</f>
        <v>53</v>
      </c>
      <c r="I13" s="103" t="str">
        <f>IF($H13=0,"",VLOOKUP($H13,sez!$A$2:$D$259,2))</f>
        <v>Tufová Laura</v>
      </c>
      <c r="J13" s="103" t="str">
        <f>IF($H13=0,"",VLOOKUP($H13,sez!$A$2:$D$259,4))</f>
        <v>SKST Hodonín</v>
      </c>
      <c r="K13" s="103">
        <f>W7</f>
        <v>21</v>
      </c>
      <c r="L13" s="103" t="str">
        <f>IF($K13=0,"",VLOOKUP($K13,sez!$A$2:$D$259,2))</f>
        <v>Sýkora Tomáš</v>
      </c>
      <c r="M13" s="2" t="str">
        <f>IF($K13=0,"",VLOOKUP($K13,sez!$A$2:$D$259,4))</f>
        <v>STP Mikulov</v>
      </c>
      <c r="N13" s="66" t="s">
        <v>134</v>
      </c>
      <c r="O13" s="67" t="s">
        <v>130</v>
      </c>
      <c r="P13" s="67" t="s">
        <v>124</v>
      </c>
      <c r="Q13" s="67" t="s">
        <v>131</v>
      </c>
      <c r="R13" s="68"/>
      <c r="S13" s="2">
        <f>COUNTIF(AB13:AF13,"&gt;0")</f>
        <v>3</v>
      </c>
      <c r="T13" s="2">
        <f>COUNTIF(AB13:AF13,"&lt;0")</f>
        <v>1</v>
      </c>
      <c r="U13" s="2">
        <f>IF(S13=T13,0,IF(S13&gt;T13,B13,H13))</f>
        <v>47</v>
      </c>
      <c r="V13" s="2" t="str">
        <f>IF($U13=0,"",VLOOKUP($U13,sez!$A$2:$D$259,2))</f>
        <v>Zechmeisterová Rebeka</v>
      </c>
      <c r="W13" s="2">
        <f>IF(S13=T13,0,IF(S13&gt;T13,E13,K13))</f>
        <v>7</v>
      </c>
      <c r="X13" s="2" t="str">
        <f>IF($W13=0,"",VLOOKUP($W13,sez!$A$2:$D$259,2))</f>
        <v>Herman Jan</v>
      </c>
      <c r="Y13" s="2" t="str">
        <f>IF(S13=T13,"",IF(S13&gt;T13,CONCATENATE(S13,":",T13," (",N13,",",O13,",",P13,IF(SUM(S13:T13)&gt;3,",",""),Q13,IF(SUM(S13:T13)&gt;4,",",""),R13,")"),CONCATENATE(T13,":",S13," (",-N13,",",-O13,",",-P13,IF(SUM(S13:T13)&gt;3,",",""),IF(SUM(S13:T13)&gt;3,-Q13,""),IF(SUM(S13:T13)&gt;4,",",""),IF(SUM(S13:T13)&gt;4,-R13,""),")")))</f>
        <v>3:1 (7,8,-7,6)</v>
      </c>
      <c r="Z13" s="2" t="str">
        <f>IF(MAX(S13:T13)=3,Y13,"")</f>
        <v>3:1 (7,8,-7,6)</v>
      </c>
      <c r="AB13" s="25">
        <f t="shared" si="12"/>
        <v>1</v>
      </c>
      <c r="AC13" s="25">
        <f t="shared" si="12"/>
        <v>1</v>
      </c>
      <c r="AD13" s="25">
        <f t="shared" si="12"/>
        <v>-1</v>
      </c>
      <c r="AE13" s="25">
        <f t="shared" si="12"/>
        <v>1</v>
      </c>
      <c r="AF13" s="25">
        <f t="shared" si="12"/>
        <v>0</v>
      </c>
    </row>
    <row r="14" spans="1:32" ht="13.5" thickBot="1">
      <c r="A14" s="2" t="str">
        <f>CONCATENATE("MIX ",úvod!$C$8," - 2.kolo")</f>
        <v>MIX U13 - 2.kolo</v>
      </c>
      <c r="B14" s="2">
        <f>U8</f>
        <v>46</v>
      </c>
      <c r="C14" s="103" t="str">
        <f>IF($B14=0,"",VLOOKUP($B14,sez!$A$2:$D$259,2))</f>
        <v>Polanská Claudia</v>
      </c>
      <c r="D14" s="103" t="str">
        <f>IF($B14=0,"",VLOOKUP($B14,sez!$A$2:$D$259,4))</f>
        <v>KST FOSFA LVA</v>
      </c>
      <c r="E14" s="103">
        <f>W8</f>
        <v>24</v>
      </c>
      <c r="F14" s="103" t="str">
        <f>IF($E14=0,"",VLOOKUP($E14,sez!$A$2:$D$259,2))</f>
        <v>Le Phuoc Vu</v>
      </c>
      <c r="G14" s="103" t="str">
        <f>IF($E14=0,"",VLOOKUP($E14,sez!$A$2:$D$259,4))</f>
        <v>Sokol Znojmo-Orel Únanov</v>
      </c>
      <c r="H14" s="103">
        <f>U9</f>
        <v>44</v>
      </c>
      <c r="I14" s="103" t="str">
        <f>IF($H14=0,"",VLOOKUP($H14,sez!$A$2:$D$259,2))</f>
        <v>Machová Adélka</v>
      </c>
      <c r="J14" s="103" t="str">
        <f>IF($H14=0,"",VLOOKUP($H14,sez!$A$2:$D$259,4))</f>
        <v>STP Mikulov</v>
      </c>
      <c r="K14" s="103">
        <f>W9</f>
        <v>4</v>
      </c>
      <c r="L14" s="103" t="str">
        <f>IF($K14=0,"",VLOOKUP($K14,sez!$A$2:$D$259,2))</f>
        <v>Štěpánek Adam</v>
      </c>
      <c r="M14" s="2" t="str">
        <f>IF($K14=0,"",VLOOKUP($K14,sez!$A$2:$D$259,4))</f>
        <v>STP Mikulov</v>
      </c>
      <c r="N14" s="69" t="s">
        <v>135</v>
      </c>
      <c r="O14" s="70" t="s">
        <v>137</v>
      </c>
      <c r="P14" s="70" t="s">
        <v>139</v>
      </c>
      <c r="Q14" s="70"/>
      <c r="R14" s="71"/>
      <c r="S14" s="2">
        <f>COUNTIF(AB14:AF14,"&gt;0")</f>
        <v>0</v>
      </c>
      <c r="T14" s="2">
        <f>COUNTIF(AB14:AF14,"&lt;0")</f>
        <v>3</v>
      </c>
      <c r="U14" s="2">
        <f>IF(S14=T14,0,IF(S14&gt;T14,B14,H14))</f>
        <v>44</v>
      </c>
      <c r="V14" s="2" t="str">
        <f>IF($U14=0,"",VLOOKUP($U14,sez!$A$2:$D$259,2))</f>
        <v>Machová Adélka</v>
      </c>
      <c r="W14" s="2">
        <f>IF(S14=T14,0,IF(S14&gt;T14,E14,K14))</f>
        <v>4</v>
      </c>
      <c r="X14" s="2" t="str">
        <f>IF($W14=0,"",VLOOKUP($W14,sez!$A$2:$D$259,2))</f>
        <v>Štěpánek Adam</v>
      </c>
      <c r="Y14" s="2" t="str">
        <f>IF(S14=T14,"",IF(S14&gt;T14,CONCATENATE(S14,":",T14," (",N14,",",O14,",",P14,IF(SUM(S14:T14)&gt;3,",",""),Q14,IF(SUM(S14:T14)&gt;4,",",""),R14,")"),CONCATENATE(T14,":",S14," (",-N14,",",-O14,",",-P14,IF(SUM(S14:T14)&gt;3,",",""),IF(SUM(S14:T14)&gt;3,-Q14,""),IF(SUM(S14:T14)&gt;4,",",""),IF(SUM(S14:T14)&gt;4,-R14,""),")")))</f>
        <v>3:0 (5,6,10)</v>
      </c>
      <c r="Z14" s="2" t="str">
        <f>IF(MAX(S14:T14)=3,Y14,"")</f>
        <v>3:0 (5,6,10)</v>
      </c>
      <c r="AB14" s="25">
        <f t="shared" si="12"/>
        <v>-1</v>
      </c>
      <c r="AC14" s="25">
        <f t="shared" si="12"/>
        <v>-1</v>
      </c>
      <c r="AD14" s="25">
        <f t="shared" si="12"/>
        <v>-1</v>
      </c>
      <c r="AE14" s="25">
        <f t="shared" si="12"/>
        <v>0</v>
      </c>
      <c r="AF14" s="25">
        <f t="shared" si="12"/>
        <v>0</v>
      </c>
    </row>
    <row r="15" spans="14:18" ht="14.25" thickBot="1" thickTop="1">
      <c r="N15" s="19"/>
      <c r="O15" s="19"/>
      <c r="P15" s="19"/>
      <c r="Q15" s="19"/>
      <c r="R15" s="19"/>
    </row>
    <row r="16" spans="1:32" ht="13.5" thickTop="1">
      <c r="A16" s="2" t="str">
        <f>CONCATENATE("MIX ",úvod!$C$8," - semifinále")</f>
        <v>MIX U13 - semifinále</v>
      </c>
      <c r="B16" s="2">
        <f>U11</f>
        <v>41</v>
      </c>
      <c r="C16" s="103" t="str">
        <f>IF($B16=0,"",VLOOKUP($B16,sez!$A$2:$D$259,2))</f>
        <v>Cupáková Bára</v>
      </c>
      <c r="D16" s="103" t="str">
        <f>IF($B16=0,"",VLOOKUP($B16,sez!$A$2:$D$259,4))</f>
        <v>KST FOSFA LVA</v>
      </c>
      <c r="E16" s="103">
        <f>W11</f>
        <v>3</v>
      </c>
      <c r="F16" s="103" t="str">
        <f>IF($E16=0,"",VLOOKUP($E16,sez!$A$2:$D$259,2))</f>
        <v>Cupák Jakub</v>
      </c>
      <c r="G16" s="103" t="str">
        <f>IF($E16=0,"",VLOOKUP($E16,sez!$A$2:$D$259,4))</f>
        <v>KST FOSFA LVA</v>
      </c>
      <c r="H16" s="103">
        <f>U12</f>
        <v>42</v>
      </c>
      <c r="I16" s="103" t="str">
        <f>IF($H16=0,"",VLOOKUP($H16,sez!$A$2:$D$259,2))</f>
        <v>Báťková Pavlína</v>
      </c>
      <c r="J16" s="103" t="str">
        <f>IF($H16=0,"",VLOOKUP($H16,sez!$A$2:$D$259,4))</f>
        <v>SKST Hodonín</v>
      </c>
      <c r="K16" s="103">
        <f>W12</f>
        <v>9</v>
      </c>
      <c r="L16" s="103" t="str">
        <f>IF($K16=0,"",VLOOKUP($K16,sez!$A$2:$D$259,2))</f>
        <v>Macánek Martin</v>
      </c>
      <c r="M16" s="2" t="str">
        <f>IF($K16=0,"",VLOOKUP($K16,sez!$A$2:$D$259,4))</f>
        <v>SKST Hodonín</v>
      </c>
      <c r="N16" s="63" t="s">
        <v>134</v>
      </c>
      <c r="O16" s="64" t="s">
        <v>135</v>
      </c>
      <c r="P16" s="64" t="s">
        <v>129</v>
      </c>
      <c r="Q16" s="64" t="s">
        <v>122</v>
      </c>
      <c r="R16" s="65"/>
      <c r="S16" s="2">
        <f>COUNTIF(AB16:AF16,"&gt;0")</f>
        <v>3</v>
      </c>
      <c r="T16" s="2">
        <f>COUNTIF(AB16:AF16,"&lt;0")</f>
        <v>1</v>
      </c>
      <c r="U16" s="2">
        <f>IF(S16=T16,0,IF(S16&gt;T16,B16,H16))</f>
        <v>41</v>
      </c>
      <c r="V16" s="2" t="str">
        <f>IF($U16=0,"",VLOOKUP($U16,sez!$A$2:$D$259,2))</f>
        <v>Cupáková Bára</v>
      </c>
      <c r="W16" s="2">
        <f>IF(S16=T16,0,IF(S16&gt;T16,E16,K16))</f>
        <v>3</v>
      </c>
      <c r="X16" s="2" t="str">
        <f>IF($W16=0,"",VLOOKUP($W16,sez!$A$2:$D$259,2))</f>
        <v>Cupák Jakub</v>
      </c>
      <c r="Y16" s="2" t="str">
        <f>IF(S16=T16,"",IF(S16&gt;T16,CONCATENATE(S16,":",T16," (",N16,",",O16,",",P16,IF(SUM(S16:T16)&gt;3,",",""),Q16,IF(SUM(S16:T16)&gt;4,",",""),R16,")"),CONCATENATE(T16,":",S16," (",-N16,",",-O16,",",-P16,IF(SUM(S16:T16)&gt;3,",",""),IF(SUM(S16:T16)&gt;3,-Q16,""),IF(SUM(S16:T16)&gt;4,",",""),IF(SUM(S16:T16)&gt;4,-R16,""),")")))</f>
        <v>3:1 (7,-5,4,10)</v>
      </c>
      <c r="Z16" s="2" t="str">
        <f>IF(MAX(S16:T16)=3,Y16,"")</f>
        <v>3:1 (7,-5,4,10)</v>
      </c>
      <c r="AB16" s="25">
        <f aca="true" t="shared" si="13" ref="AB16:AF17">IF(N16="",0,IF(MID(N16,1,1)="-",-1,1))</f>
        <v>1</v>
      </c>
      <c r="AC16" s="25">
        <f t="shared" si="13"/>
        <v>-1</v>
      </c>
      <c r="AD16" s="25">
        <f t="shared" si="13"/>
        <v>1</v>
      </c>
      <c r="AE16" s="25">
        <f t="shared" si="13"/>
        <v>1</v>
      </c>
      <c r="AF16" s="25">
        <f t="shared" si="13"/>
        <v>0</v>
      </c>
    </row>
    <row r="17" spans="1:32" ht="13.5" thickBot="1">
      <c r="A17" s="2" t="str">
        <f>CONCATENATE("MIX ",úvod!$C$8," - semifinále")</f>
        <v>MIX U13 - semifinále</v>
      </c>
      <c r="B17" s="2">
        <f>U13</f>
        <v>47</v>
      </c>
      <c r="C17" s="103" t="str">
        <f>IF($B17=0,"",VLOOKUP($B17,sez!$A$2:$D$259,2))</f>
        <v>Zechmeisterová Rebeka</v>
      </c>
      <c r="D17" s="103" t="str">
        <f>IF($B17=0,"",VLOOKUP($B17,sez!$A$2:$D$259,4))</f>
        <v>KST FOSFA LVA</v>
      </c>
      <c r="E17" s="103">
        <f>W13</f>
        <v>7</v>
      </c>
      <c r="F17" s="103" t="str">
        <f>IF($E17=0,"",VLOOKUP($E17,sez!$A$2:$D$259,2))</f>
        <v>Herman Jan</v>
      </c>
      <c r="G17" s="103" t="str">
        <f>IF($E17=0,"",VLOOKUP($E17,sez!$A$2:$D$259,4))</f>
        <v>KST FOSFA LVA</v>
      </c>
      <c r="H17" s="103">
        <f>U14</f>
        <v>44</v>
      </c>
      <c r="I17" s="103" t="str">
        <f>IF($H17=0,"",VLOOKUP($H17,sez!$A$2:$D$259,2))</f>
        <v>Machová Adélka</v>
      </c>
      <c r="J17" s="103" t="str">
        <f>IF($H17=0,"",VLOOKUP($H17,sez!$A$2:$D$259,4))</f>
        <v>STP Mikulov</v>
      </c>
      <c r="K17" s="103">
        <f>W14</f>
        <v>4</v>
      </c>
      <c r="L17" s="103" t="str">
        <f>IF($K17=0,"",VLOOKUP($K17,sez!$A$2:$D$259,2))</f>
        <v>Štěpánek Adam</v>
      </c>
      <c r="M17" s="2" t="str">
        <f>IF($K17=0,"",VLOOKUP($K17,sez!$A$2:$D$259,4))</f>
        <v>STP Mikulov</v>
      </c>
      <c r="N17" s="69" t="s">
        <v>141</v>
      </c>
      <c r="O17" s="70" t="s">
        <v>133</v>
      </c>
      <c r="P17" s="70" t="s">
        <v>126</v>
      </c>
      <c r="Q17" s="70"/>
      <c r="R17" s="71"/>
      <c r="S17" s="2">
        <f>COUNTIF(AB17:AF17,"&gt;0")</f>
        <v>0</v>
      </c>
      <c r="T17" s="2">
        <f>COUNTIF(AB17:AF17,"&lt;0")</f>
        <v>3</v>
      </c>
      <c r="U17" s="2">
        <f>IF(S17=T17,0,IF(S17&gt;T17,B17,H17))</f>
        <v>44</v>
      </c>
      <c r="V17" s="2" t="str">
        <f>IF($U17=0,"",VLOOKUP($U17,sez!$A$2:$D$259,2))</f>
        <v>Machová Adélka</v>
      </c>
      <c r="W17" s="2">
        <f>IF(S17=T17,0,IF(S17&gt;T17,E17,K17))</f>
        <v>4</v>
      </c>
      <c r="X17" s="2" t="str">
        <f>IF($W17=0,"",VLOOKUP($W17,sez!$A$2:$D$259,2))</f>
        <v>Štěpánek Adam</v>
      </c>
      <c r="Y17" s="2" t="str">
        <f>IF(S17=T17,"",IF(S17&gt;T17,CONCATENATE(S17,":",T17," (",N17,",",O17,",",P17,IF(SUM(S17:T17)&gt;3,",",""),Q17,IF(SUM(S17:T17)&gt;4,",",""),R17,")"),CONCATENATE(T17,":",S17," (",-N17,",",-O17,",",-P17,IF(SUM(S17:T17)&gt;3,",",""),IF(SUM(S17:T17)&gt;3,-Q17,""),IF(SUM(S17:T17)&gt;4,",",""),IF(SUM(S17:T17)&gt;4,-R17,""),")")))</f>
        <v>3:0 (2,8,4)</v>
      </c>
      <c r="Z17" s="2" t="str">
        <f>IF(MAX(S17:T17)=3,Y17,"")</f>
        <v>3:0 (2,8,4)</v>
      </c>
      <c r="AB17" s="25">
        <f t="shared" si="13"/>
        <v>-1</v>
      </c>
      <c r="AC17" s="25">
        <f t="shared" si="13"/>
        <v>-1</v>
      </c>
      <c r="AD17" s="25">
        <f t="shared" si="13"/>
        <v>-1</v>
      </c>
      <c r="AE17" s="25">
        <f t="shared" si="13"/>
        <v>0</v>
      </c>
      <c r="AF17" s="25">
        <f t="shared" si="13"/>
        <v>0</v>
      </c>
    </row>
    <row r="18" ht="14.25" thickBot="1" thickTop="1"/>
    <row r="19" spans="1:32" ht="14.25" thickBot="1" thickTop="1">
      <c r="A19" s="2" t="str">
        <f>CONCATENATE("MIX ",úvod!$C$8," - finále")</f>
        <v>MIX U13 - finále</v>
      </c>
      <c r="B19" s="2">
        <f>U16</f>
        <v>41</v>
      </c>
      <c r="C19" s="103" t="str">
        <f>IF($B19=0,"",VLOOKUP($B19,sez!$A$2:$D$259,2))</f>
        <v>Cupáková Bára</v>
      </c>
      <c r="D19" s="103" t="str">
        <f>IF($B19=0,"",VLOOKUP($B19,sez!$A$2:$D$259,4))</f>
        <v>KST FOSFA LVA</v>
      </c>
      <c r="E19" s="103">
        <f>W16</f>
        <v>3</v>
      </c>
      <c r="F19" s="103" t="str">
        <f>IF($E19=0,"",VLOOKUP($E19,sez!$A$2:$D$259,2))</f>
        <v>Cupák Jakub</v>
      </c>
      <c r="G19" s="103" t="str">
        <f>IF($E19=0,"",VLOOKUP($E19,sez!$A$2:$D$259,4))</f>
        <v>KST FOSFA LVA</v>
      </c>
      <c r="H19" s="103">
        <f>U17</f>
        <v>44</v>
      </c>
      <c r="I19" s="103" t="str">
        <f>IF($H19=0,"",VLOOKUP($H19,sez!$A$2:$D$259,2))</f>
        <v>Machová Adélka</v>
      </c>
      <c r="J19" s="103" t="str">
        <f>IF($H19=0,"",VLOOKUP($H19,sez!$A$2:$D$259,4))</f>
        <v>STP Mikulov</v>
      </c>
      <c r="K19" s="103">
        <f>W17</f>
        <v>4</v>
      </c>
      <c r="L19" s="103" t="str">
        <f>IF($K19=0,"",VLOOKUP($K19,sez!$A$2:$D$259,2))</f>
        <v>Štěpánek Adam</v>
      </c>
      <c r="M19" s="2" t="str">
        <f>IF($K19=0,"",VLOOKUP($K19,sez!$A$2:$D$259,4))</f>
        <v>STP Mikulov</v>
      </c>
      <c r="N19" s="72" t="s">
        <v>133</v>
      </c>
      <c r="O19" s="73" t="s">
        <v>139</v>
      </c>
      <c r="P19" s="73" t="s">
        <v>121</v>
      </c>
      <c r="Q19" s="73" t="s">
        <v>139</v>
      </c>
      <c r="R19" s="74"/>
      <c r="S19" s="2">
        <f>COUNTIF(AB19:AF19,"&gt;0")</f>
        <v>1</v>
      </c>
      <c r="T19" s="2">
        <f>COUNTIF(AB19:AF19,"&lt;0")</f>
        <v>3</v>
      </c>
      <c r="U19" s="2">
        <f>IF(S19=T19,0,IF(S19&gt;T19,B19,H19))</f>
        <v>44</v>
      </c>
      <c r="V19" s="2" t="str">
        <f>IF($U19=0,"",VLOOKUP($U19,sez!$A$2:$D$259,2))</f>
        <v>Machová Adélka</v>
      </c>
      <c r="W19" s="2">
        <f>IF(S19=T19,0,IF(S19&gt;T19,E19,K19))</f>
        <v>4</v>
      </c>
      <c r="X19" s="2" t="str">
        <f>IF($W19=0,"",VLOOKUP($W19,sez!$A$2:$D$259,2))</f>
        <v>Štěpánek Adam</v>
      </c>
      <c r="Y19" s="2" t="str">
        <f>IF(S19=T19,"",IF(S19&gt;T19,CONCATENATE(S19,":",T19," (",N19,",",O19,",",P19,IF(SUM(S19:T19)&gt;3,",",""),Q19,IF(SUM(S19:T19)&gt;4,",",""),R19,")"),CONCATENATE(T19,":",S19," (",-N19,",",-O19,",",-P19,IF(SUM(S19:T19)&gt;3,",",""),IF(SUM(S19:T19)&gt;3,-Q19,""),IF(SUM(S19:T19)&gt;4,",",""),IF(SUM(S19:T19)&gt;4,-R19,""),")")))</f>
        <v>3:1 (8,10,-9,10)</v>
      </c>
      <c r="Z19" s="2" t="str">
        <f>IF(MAX(S19:T19)=3,Y19,"")</f>
        <v>3:1 (8,10,-9,10)</v>
      </c>
      <c r="AB19" s="25">
        <f>IF(N19="",0,IF(MID(N19,1,1)="-",-1,1))</f>
        <v>-1</v>
      </c>
      <c r="AC19" s="25">
        <f>IF(O19="",0,IF(MID(O19,1,1)="-",-1,1))</f>
        <v>-1</v>
      </c>
      <c r="AD19" s="25">
        <f>IF(P19="",0,IF(MID(P19,1,1)="-",-1,1))</f>
        <v>1</v>
      </c>
      <c r="AE19" s="25">
        <f>IF(Q19="",0,IF(MID(Q19,1,1)="-",-1,1))</f>
        <v>-1</v>
      </c>
      <c r="AF19" s="25">
        <f>IF(R19="",0,IF(MID(R19,1,1)="-",-1,1))</f>
        <v>0</v>
      </c>
    </row>
    <row r="20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Normal="75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8" width="31.375" style="2" customWidth="1"/>
    <col min="9" max="16384" width="9.125" style="2" customWidth="1"/>
  </cols>
  <sheetData>
    <row r="1" spans="2:8" ht="27" customHeight="1">
      <c r="B1" s="3" t="str">
        <f>úvod!C6</f>
        <v>krajské přebory</v>
      </c>
      <c r="H1" s="86"/>
    </row>
    <row r="2" spans="2:8" ht="21" customHeight="1">
      <c r="B2" s="79"/>
      <c r="H2" s="20" t="str">
        <f>CONCATENATE("Dvouhra ",úvod!C8," M - 2.stupeň")</f>
        <v>Dvouhra U13 M - 2.stupeň</v>
      </c>
    </row>
    <row r="3" spans="4:8" ht="13.5">
      <c r="D3" s="4"/>
      <c r="H3" s="81"/>
    </row>
    <row r="4" spans="1:3" ht="15" customHeight="1">
      <c r="A4" s="2">
        <v>1</v>
      </c>
      <c r="B4" s="104">
        <v>1</v>
      </c>
      <c r="C4" s="5" t="str">
        <f>IF($B4="","bye",CONCATENATE(VLOOKUP($B4,sez!$A$2:$E$259,2)," (",VLOOKUP($B4,sez!$A$2:$E$259,4),")"))</f>
        <v>Flajšar Pavel (SKST N. Lískovec)</v>
      </c>
    </row>
    <row r="5" spans="4:5" ht="15" customHeight="1">
      <c r="D5" s="13"/>
      <c r="E5" s="5" t="str">
        <f>'výs 2.st M'!P2</f>
        <v>Flajšar Pavel</v>
      </c>
    </row>
    <row r="6" spans="1:5" ht="15" customHeight="1">
      <c r="A6" s="2">
        <v>2</v>
      </c>
      <c r="B6" s="104">
        <v>6</v>
      </c>
      <c r="C6" s="5" t="str">
        <f>IF($B6="","bye",CONCATENATE(VLOOKUP($B6,sez!$A$2:$E$259,2)," (",VLOOKUP($B6,sez!$A$2:$E$259,4),")"))</f>
        <v>Koudelka David (MS Brno)</v>
      </c>
      <c r="D6" s="14"/>
      <c r="E6" s="6" t="str">
        <f>'výs 2.st M'!R2</f>
        <v>3:0 (9,7,6)</v>
      </c>
    </row>
    <row r="7" spans="4:6" ht="15" customHeight="1">
      <c r="D7" s="15"/>
      <c r="E7" s="8"/>
      <c r="F7" s="21" t="str">
        <f>'výs 2.st M'!P11</f>
        <v>Flajšar Pavel</v>
      </c>
    </row>
    <row r="8" spans="1:6" ht="15" customHeight="1">
      <c r="A8" s="2">
        <v>3</v>
      </c>
      <c r="B8" s="104">
        <v>27</v>
      </c>
      <c r="C8" s="5" t="str">
        <f>IF($B8="","bye",CONCATENATE(VLOOKUP($B8,sez!$A$2:$E$259,2)," (",VLOOKUP($B8,sez!$A$2:$E$259,4),")"))</f>
        <v>Chloupek Tomáš (KST Kunštát)</v>
      </c>
      <c r="D8" s="12"/>
      <c r="E8" s="8"/>
      <c r="F8" s="6" t="str">
        <f>'výs 2.st M'!R11</f>
        <v>3:0 (4,2,4)</v>
      </c>
    </row>
    <row r="9" spans="4:6" ht="15" customHeight="1">
      <c r="D9" s="13"/>
      <c r="E9" s="7" t="str">
        <f>'výs 2.st M'!P3</f>
        <v>Herman Jan</v>
      </c>
      <c r="F9" s="8"/>
    </row>
    <row r="10" spans="1:6" ht="15" customHeight="1">
      <c r="A10" s="2">
        <v>4</v>
      </c>
      <c r="B10" s="104">
        <v>7</v>
      </c>
      <c r="C10" s="5" t="str">
        <f>IF($B10="","bye",CONCATENATE(VLOOKUP($B10,sez!$A$2:$E$259,2)," (",VLOOKUP($B10,sez!$A$2:$E$259,4),")"))</f>
        <v>Herman Jan (KST FOSFA LVA)</v>
      </c>
      <c r="D10" s="14"/>
      <c r="E10" s="2" t="str">
        <f>'výs 2.st M'!R3</f>
        <v>3:1 (-10,16,7,7)</v>
      </c>
      <c r="F10" s="8"/>
    </row>
    <row r="11" spans="4:7" ht="15" customHeight="1">
      <c r="D11" s="15"/>
      <c r="F11" s="8"/>
      <c r="G11" s="21" t="str">
        <f>'výs 2.st M'!P16</f>
        <v>Flajšar Pavel</v>
      </c>
    </row>
    <row r="12" spans="1:7" ht="15" customHeight="1">
      <c r="A12" s="2">
        <v>5</v>
      </c>
      <c r="B12" s="104">
        <v>8</v>
      </c>
      <c r="C12" s="5" t="str">
        <f>IF($B12="","bye",CONCATENATE(VLOOKUP($B12,sez!$A$2:$E$259,2)," (",VLOOKUP($B12,sez!$A$2:$E$259,4),")"))</f>
        <v>Dvorský Vojtěch (MS Brno)</v>
      </c>
      <c r="D12" s="12"/>
      <c r="F12" s="8"/>
      <c r="G12" s="6" t="str">
        <f>'výs 2.st M'!R16</f>
        <v>3:0 (3,1,8)</v>
      </c>
    </row>
    <row r="13" spans="4:7" ht="15" customHeight="1">
      <c r="D13" s="13"/>
      <c r="E13" s="5" t="str">
        <f>'výs 2.st M'!P4</f>
        <v>Dvorský Vojtěch</v>
      </c>
      <c r="F13" s="8"/>
      <c r="G13" s="8"/>
    </row>
    <row r="14" spans="1:7" ht="15" customHeight="1">
      <c r="A14" s="2">
        <v>6</v>
      </c>
      <c r="B14" s="104">
        <v>16</v>
      </c>
      <c r="C14" s="5" t="str">
        <f>IF($B14="","bye",CONCATENATE(VLOOKUP($B14,sez!$A$2:$E$259,2)," (",VLOOKUP($B14,sez!$A$2:$E$259,4),")"))</f>
        <v>Čelko Ondřej (Sokol Líšeň)</v>
      </c>
      <c r="D14" s="14"/>
      <c r="E14" s="6" t="str">
        <f>'výs 2.st M'!R4</f>
        <v>3:1 (9,-5,8,4)</v>
      </c>
      <c r="F14" s="8"/>
      <c r="G14" s="8"/>
    </row>
    <row r="15" spans="4:7" ht="15" customHeight="1">
      <c r="D15" s="15"/>
      <c r="E15" s="8"/>
      <c r="F15" s="22" t="str">
        <f>'výs 2.st M'!P12</f>
        <v>Štěpánek Adam</v>
      </c>
      <c r="G15" s="8"/>
    </row>
    <row r="16" spans="1:7" ht="15" customHeight="1">
      <c r="A16" s="2">
        <v>7</v>
      </c>
      <c r="B16" s="104">
        <v>28</v>
      </c>
      <c r="C16" s="5" t="str">
        <f>IF($B16="","bye",CONCATENATE(VLOOKUP($B16,sez!$A$2:$E$259,2)," (",VLOOKUP($B16,sez!$A$2:$E$259,4),")"))</f>
        <v>Veselý Eliáš (KST Vyškov)</v>
      </c>
      <c r="D16" s="12"/>
      <c r="E16" s="8"/>
      <c r="F16" s="2" t="str">
        <f>'výs 2.st M'!R12</f>
        <v>3:0 (10,9,5)</v>
      </c>
      <c r="G16" s="8"/>
    </row>
    <row r="17" spans="4:7" ht="15" customHeight="1">
      <c r="D17" s="13"/>
      <c r="E17" s="7" t="str">
        <f>'výs 2.st M'!P5</f>
        <v>Štěpánek Adam</v>
      </c>
      <c r="G17" s="8"/>
    </row>
    <row r="18" spans="1:7" ht="15" customHeight="1">
      <c r="A18" s="2">
        <v>8</v>
      </c>
      <c r="B18" s="104">
        <v>4</v>
      </c>
      <c r="C18" s="5" t="str">
        <f>IF($B18="","bye",CONCATENATE(VLOOKUP($B18,sez!$A$2:$E$259,2)," (",VLOOKUP($B18,sez!$A$2:$E$259,4),")"))</f>
        <v>Štěpánek Adam (STP Mikulov)</v>
      </c>
      <c r="D18" s="14"/>
      <c r="E18" s="2" t="str">
        <f>'výs 2.st M'!R5</f>
        <v>3:0 (6,5,7)</v>
      </c>
      <c r="G18" s="8"/>
    </row>
    <row r="19" spans="4:8" ht="15" customHeight="1">
      <c r="D19" s="15"/>
      <c r="G19" s="8"/>
      <c r="H19" s="11" t="str">
        <f>'výs 2.st M'!P19</f>
        <v>Flajšar Pavel</v>
      </c>
    </row>
    <row r="20" spans="1:8" ht="15" customHeight="1">
      <c r="A20" s="2">
        <v>9</v>
      </c>
      <c r="B20" s="104">
        <v>3</v>
      </c>
      <c r="C20" s="5" t="str">
        <f>IF($B20="","bye",CONCATENATE(VLOOKUP($B20,sez!$A$2:$E$259,2)," (",VLOOKUP($B20,sez!$A$2:$E$259,4),")"))</f>
        <v>Cupák Jakub (KST FOSFA LVA)</v>
      </c>
      <c r="D20" s="12"/>
      <c r="G20" s="8"/>
      <c r="H20" s="75" t="str">
        <f>'výs 2.st M'!R19</f>
        <v>3:0 (6,3,11)</v>
      </c>
    </row>
    <row r="21" spans="4:7" ht="15" customHeight="1">
      <c r="D21" s="13"/>
      <c r="E21" s="5" t="str">
        <f>'výs 2.st M'!P6</f>
        <v>Cupák Jakub</v>
      </c>
      <c r="G21" s="8"/>
    </row>
    <row r="22" spans="1:7" ht="15" customHeight="1">
      <c r="A22" s="2">
        <v>10</v>
      </c>
      <c r="B22" s="104">
        <v>13</v>
      </c>
      <c r="C22" s="5" t="str">
        <f>IF($B22="","bye",CONCATENATE(VLOOKUP($B22,sez!$A$2:$E$259,2)," (",VLOOKUP($B22,sez!$A$2:$E$259,4),")"))</f>
        <v>Tuč Michal (Sokol Brno I)</v>
      </c>
      <c r="D22" s="14"/>
      <c r="E22" s="6" t="str">
        <f>'výs 2.st M'!R6</f>
        <v>3:0 (10,4,3)</v>
      </c>
      <c r="G22" s="8"/>
    </row>
    <row r="23" spans="4:7" ht="15" customHeight="1">
      <c r="D23" s="15"/>
      <c r="E23" s="8"/>
      <c r="F23" s="21" t="str">
        <f>'výs 2.st M'!P13</f>
        <v>Solfronk Adam</v>
      </c>
      <c r="G23" s="8"/>
    </row>
    <row r="24" spans="1:7" ht="15" customHeight="1">
      <c r="A24" s="2">
        <v>11</v>
      </c>
      <c r="B24" s="104">
        <v>31</v>
      </c>
      <c r="C24" s="5" t="str">
        <f>IF($B24="","bye",CONCATENATE(VLOOKUP($B24,sez!$A$2:$E$259,2)," (",VLOOKUP($B24,sez!$A$2:$E$259,4),")"))</f>
        <v>Topinka Vojtěch (Agrotec Hustopeče)</v>
      </c>
      <c r="D24" s="12"/>
      <c r="E24" s="8"/>
      <c r="F24" s="6" t="str">
        <f>'výs 2.st M'!R13</f>
        <v>3:0 (10,6,8)</v>
      </c>
      <c r="G24" s="8"/>
    </row>
    <row r="25" spans="4:7" ht="15" customHeight="1">
      <c r="D25" s="13"/>
      <c r="E25" s="7" t="str">
        <f>'výs 2.st M'!P7</f>
        <v>Solfronk Adam</v>
      </c>
      <c r="F25" s="8"/>
      <c r="G25" s="8"/>
    </row>
    <row r="26" spans="1:7" ht="15" customHeight="1">
      <c r="A26" s="2">
        <v>12</v>
      </c>
      <c r="B26" s="104">
        <v>5</v>
      </c>
      <c r="C26" s="5" t="str">
        <f>IF($B26="","bye",CONCATENATE(VLOOKUP($B26,sez!$A$2:$E$259,2)," (",VLOOKUP($B26,sez!$A$2:$E$259,4),")"))</f>
        <v>Solfronk Adam (MS Brno)</v>
      </c>
      <c r="D26" s="14"/>
      <c r="E26" s="2" t="str">
        <f>'výs 2.st M'!R7</f>
        <v>3:0 (7,3,6)</v>
      </c>
      <c r="F26" s="8"/>
      <c r="G26" s="8"/>
    </row>
    <row r="27" spans="4:7" ht="15" customHeight="1">
      <c r="D27" s="15"/>
      <c r="F27" s="8"/>
      <c r="G27" s="22" t="str">
        <f>'výs 2.st M'!P17</f>
        <v>Vokřínek Tomáš</v>
      </c>
    </row>
    <row r="28" spans="1:7" ht="15" customHeight="1">
      <c r="A28" s="2">
        <v>13</v>
      </c>
      <c r="B28" s="104">
        <v>9</v>
      </c>
      <c r="C28" s="5" t="str">
        <f>IF($B28="","bye",CONCATENATE(VLOOKUP($B28,sez!$A$2:$E$259,2)," (",VLOOKUP($B28,sez!$A$2:$E$259,4),")"))</f>
        <v>Macánek Martin (SKST Hodonín)</v>
      </c>
      <c r="D28" s="12"/>
      <c r="F28" s="8"/>
      <c r="G28" s="2" t="str">
        <f>'výs 2.st M'!R17</f>
        <v>3:2 (9,-8,9,-9,5)</v>
      </c>
    </row>
    <row r="29" spans="4:6" ht="15" customHeight="1">
      <c r="D29" s="13"/>
      <c r="E29" s="5" t="str">
        <f>'výs 2.st M'!P8</f>
        <v>Barták Lukáš</v>
      </c>
      <c r="F29" s="8"/>
    </row>
    <row r="30" spans="1:6" ht="15" customHeight="1">
      <c r="A30" s="2">
        <v>14</v>
      </c>
      <c r="B30" s="104">
        <v>11</v>
      </c>
      <c r="C30" s="5" t="str">
        <f>IF($B30="","bye",CONCATENATE(VLOOKUP($B30,sez!$A$2:$E$259,2)," (",VLOOKUP($B30,sez!$A$2:$E$259,4),")"))</f>
        <v>Barták Lukáš (KST Kunštát)</v>
      </c>
      <c r="D30" s="14"/>
      <c r="E30" s="6" t="str">
        <f>'výs 2.st M'!R8</f>
        <v>3:2 (-5,6,-8,9,11)</v>
      </c>
      <c r="F30" s="8"/>
    </row>
    <row r="31" spans="4:6" ht="15" customHeight="1">
      <c r="D31" s="15"/>
      <c r="E31" s="8"/>
      <c r="F31" s="22" t="str">
        <f>'výs 2.st M'!P14</f>
        <v>Vokřínek Tomáš</v>
      </c>
    </row>
    <row r="32" spans="1:6" ht="15" customHeight="1">
      <c r="A32" s="2">
        <v>15</v>
      </c>
      <c r="B32" s="104">
        <v>12</v>
      </c>
      <c r="C32" s="5" t="str">
        <f>IF($B32="","bye",CONCATENATE(VLOOKUP($B32,sez!$A$2:$E$259,2)," (",VLOOKUP($B32,sez!$A$2:$E$259,4),")"))</f>
        <v>Jež Vítek (STP Mikulov)</v>
      </c>
      <c r="D32" s="12"/>
      <c r="E32" s="8"/>
      <c r="F32" s="2" t="str">
        <f>'výs 2.st M'!R14</f>
        <v>3:0 (10,8,1)</v>
      </c>
    </row>
    <row r="33" spans="4:5" ht="15" customHeight="1">
      <c r="D33" s="13"/>
      <c r="E33" s="7" t="str">
        <f>'výs 2.st M'!P9</f>
        <v>Vokřínek Tomáš</v>
      </c>
    </row>
    <row r="34" spans="1:5" ht="15" customHeight="1">
      <c r="A34" s="2">
        <v>16</v>
      </c>
      <c r="B34" s="104">
        <v>2</v>
      </c>
      <c r="C34" s="5" t="str">
        <f>IF($B34="","bye",CONCATENATE(VLOOKUP($B34,sez!$A$2:$E$259,2)," (",VLOOKUP($B34,sez!$A$2:$E$259,4),")"))</f>
        <v>Vokřínek Tomáš (MS Brno)</v>
      </c>
      <c r="D34" s="14"/>
      <c r="E34" s="2" t="str">
        <f>'výs 2.st M'!R9</f>
        <v>3:0 (3,4,8)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9.00390625" defaultRowHeight="12.75"/>
  <cols>
    <col min="1" max="1" width="20.375" style="2" customWidth="1"/>
    <col min="2" max="2" width="4.625" style="2" bestFit="1" customWidth="1"/>
    <col min="3" max="3" width="15.125" style="2" bestFit="1" customWidth="1"/>
    <col min="4" max="4" width="19.625" style="2" bestFit="1" customWidth="1"/>
    <col min="5" max="5" width="4.625" style="2" bestFit="1" customWidth="1"/>
    <col min="6" max="6" width="16.00390625" style="2" bestFit="1" customWidth="1"/>
    <col min="7" max="7" width="19.625" style="2" bestFit="1" customWidth="1"/>
    <col min="8" max="12" width="5.25390625" style="2" customWidth="1"/>
    <col min="13" max="14" width="4.25390625" style="2" customWidth="1"/>
    <col min="15" max="15" width="4.625" style="2" bestFit="1" customWidth="1"/>
    <col min="16" max="16" width="5.625" style="2" customWidth="1"/>
    <col min="17" max="17" width="15.00390625" style="2" bestFit="1" customWidth="1"/>
    <col min="18" max="18" width="18.875" style="2" bestFit="1" customWidth="1"/>
    <col min="19" max="19" width="3.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6" t="s">
        <v>4</v>
      </c>
      <c r="I1" s="17" t="s">
        <v>5</v>
      </c>
      <c r="J1" s="17" t="s">
        <v>6</v>
      </c>
      <c r="K1" s="17" t="s">
        <v>7</v>
      </c>
      <c r="L1" s="18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131" t="str">
        <f>CONCATENATE("Dvouhra ",úvod!$C$8," - 1.kolo")</f>
        <v>Dvouhra U13 - 1.kolo</v>
      </c>
      <c r="B2" s="131">
        <f>'2.st. M'!$B$4</f>
        <v>1</v>
      </c>
      <c r="C2" s="131" t="str">
        <f>IF($B2=0,"bye",VLOOKUP($B2,sez!$A$2:$D$259,2))</f>
        <v>Flajšar Pavel</v>
      </c>
      <c r="D2" s="131" t="str">
        <f>IF($B2=0,"",VLOOKUP($B2,sez!$A$2:$E$259,4))</f>
        <v>SKST N. Lískovec</v>
      </c>
      <c r="E2" s="131">
        <f>'2.st. M'!$B$6</f>
        <v>6</v>
      </c>
      <c r="F2" s="131" t="str">
        <f>IF($E2=0,"bye",VLOOKUP($E2,sez!$A$2:$D$259,2))</f>
        <v>Koudelka David</v>
      </c>
      <c r="G2" s="131" t="str">
        <f>IF($E2=0,"",VLOOKUP($E2,sez!$A$2:$E$259,4))</f>
        <v>MS Brno</v>
      </c>
      <c r="H2" s="63" t="s">
        <v>121</v>
      </c>
      <c r="I2" s="64" t="s">
        <v>134</v>
      </c>
      <c r="J2" s="64" t="s">
        <v>131</v>
      </c>
      <c r="K2" s="64"/>
      <c r="L2" s="65"/>
      <c r="M2" s="2">
        <f>COUNTIF(T2:X2,"&gt;0")</f>
        <v>3</v>
      </c>
      <c r="N2" s="2">
        <f>COUNTIF(T2:X2,"&lt;0")</f>
        <v>0</v>
      </c>
      <c r="O2" s="2">
        <f aca="true" t="shared" si="0" ref="O2:O9">IF(M2=N2,0,IF(M2&gt;N2,B2,E2))</f>
        <v>1</v>
      </c>
      <c r="P2" s="2" t="str">
        <f>IF($O2=0,"",VLOOKUP($O2,sez!$A$2:$D$259,2))</f>
        <v>Flajšar Pavel</v>
      </c>
      <c r="Q2" s="2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>3:0 (9,7,6)</v>
      </c>
      <c r="R2" s="2" t="str">
        <f aca="true" t="shared" si="1" ref="R2:R19">IF(MAX(M2:N2)=3,Q2,"")</f>
        <v>3:0 (9,7,6)</v>
      </c>
      <c r="S2" s="25"/>
      <c r="T2" s="25">
        <f>IF(H2="",0,IF(MID(H2,1,1)="-",-1,1))</f>
        <v>1</v>
      </c>
      <c r="U2" s="25">
        <f>IF(I2="",0,IF(MID(I2,1,1)="-",-1,1))</f>
        <v>1</v>
      </c>
      <c r="V2" s="25">
        <f>IF(J2="",0,IF(MID(J2,1,1)="-",-1,1))</f>
        <v>1</v>
      </c>
      <c r="W2" s="25">
        <f>IF(K2="",0,IF(MID(K2,1,1)="-",-1,1))</f>
        <v>0</v>
      </c>
      <c r="X2" s="25">
        <f>IF(L2="",0,IF(MID(L2,1,1)="-",-1,1))</f>
        <v>0</v>
      </c>
    </row>
    <row r="3" spans="1:24" ht="12.75">
      <c r="A3" s="131" t="str">
        <f>CONCATENATE("Dvouhra ",úvod!$C$8," - 1.kolo")</f>
        <v>Dvouhra U13 - 1.kolo</v>
      </c>
      <c r="B3" s="131">
        <f>'2.st. M'!$B$8</f>
        <v>27</v>
      </c>
      <c r="C3" s="131" t="str">
        <f>IF($B3=0,"bye",VLOOKUP($B3,sez!$A$2:$D$259,2))</f>
        <v>Chloupek Tomáš</v>
      </c>
      <c r="D3" s="131" t="str">
        <f>IF($B3=0,"",VLOOKUP($B3,sez!$A$2:$E$259,4))</f>
        <v>KST Kunštát</v>
      </c>
      <c r="E3" s="131">
        <f>'2.st. M'!$B$10</f>
        <v>7</v>
      </c>
      <c r="F3" s="131" t="str">
        <f>IF($E3=0,"bye",VLOOKUP($E3,sez!$A$2:$D$259,2))</f>
        <v>Herman Jan</v>
      </c>
      <c r="G3" s="131" t="str">
        <f>IF($E3=0,"",VLOOKUP($E3,sez!$A$2:$E$259,4))</f>
        <v>KST FOSFA LVA</v>
      </c>
      <c r="H3" s="66" t="s">
        <v>122</v>
      </c>
      <c r="I3" s="67" t="s">
        <v>147</v>
      </c>
      <c r="J3" s="67" t="s">
        <v>124</v>
      </c>
      <c r="K3" s="67" t="s">
        <v>124</v>
      </c>
      <c r="L3" s="68"/>
      <c r="M3" s="2">
        <f aca="true" t="shared" si="2" ref="M3:M9">COUNTIF(T3:X3,"&gt;0")</f>
        <v>1</v>
      </c>
      <c r="N3" s="2">
        <f aca="true" t="shared" si="3" ref="N3:N9">COUNTIF(T3:X3,"&lt;0")</f>
        <v>3</v>
      </c>
      <c r="O3" s="2">
        <f t="shared" si="0"/>
        <v>7</v>
      </c>
      <c r="P3" s="2" t="str">
        <f>IF($O3=0,"",VLOOKUP($O3,sez!$A$2:$D$259,2))</f>
        <v>Herman Jan</v>
      </c>
      <c r="Q3" s="2" t="str">
        <f aca="true" t="shared" si="4" ref="Q3:Q9"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>3:1 (-10,16,7,7)</v>
      </c>
      <c r="R3" s="2" t="str">
        <f t="shared" si="1"/>
        <v>3:1 (-10,16,7,7)</v>
      </c>
      <c r="T3" s="25">
        <f aca="true" t="shared" si="5" ref="T3:W9">IF(H3="",0,IF(MID(H3,1,1)="-",-1,1))</f>
        <v>1</v>
      </c>
      <c r="U3" s="25">
        <f t="shared" si="5"/>
        <v>-1</v>
      </c>
      <c r="V3" s="25">
        <f t="shared" si="5"/>
        <v>-1</v>
      </c>
      <c r="W3" s="25">
        <f t="shared" si="5"/>
        <v>-1</v>
      </c>
      <c r="X3" s="25">
        <f aca="true" t="shared" si="6" ref="X3:X9">IF(L3="",0,IF(MID(L3,1,1)="-",-1,1))</f>
        <v>0</v>
      </c>
    </row>
    <row r="4" spans="1:24" ht="12.75">
      <c r="A4" s="131" t="str">
        <f>CONCATENATE("Dvouhra ",úvod!$C$8," - 1.kolo")</f>
        <v>Dvouhra U13 - 1.kolo</v>
      </c>
      <c r="B4" s="131">
        <f>'2.st. M'!$B$12</f>
        <v>8</v>
      </c>
      <c r="C4" s="131" t="str">
        <f>IF($B4=0,"bye",VLOOKUP($B4,sez!$A$2:$D$259,2))</f>
        <v>Dvorský Vojtěch</v>
      </c>
      <c r="D4" s="131" t="str">
        <f>IF($B4=0,"",VLOOKUP($B4,sez!$A$2:$E$259,4))</f>
        <v>MS Brno</v>
      </c>
      <c r="E4" s="131">
        <f>'2.st. M'!$B$14</f>
        <v>16</v>
      </c>
      <c r="F4" s="131" t="str">
        <f>IF($E4=0,"bye",VLOOKUP($E4,sez!$A$2:$D$259,2))</f>
        <v>Čelko Ondřej</v>
      </c>
      <c r="G4" s="131" t="str">
        <f>IF($E4=0,"",VLOOKUP($E4,sez!$A$2:$E$259,4))</f>
        <v>Sokol Líšeň</v>
      </c>
      <c r="H4" s="66" t="s">
        <v>121</v>
      </c>
      <c r="I4" s="67" t="s">
        <v>135</v>
      </c>
      <c r="J4" s="67" t="s">
        <v>130</v>
      </c>
      <c r="K4" s="67" t="s">
        <v>129</v>
      </c>
      <c r="L4" s="68"/>
      <c r="M4" s="2">
        <f t="shared" si="2"/>
        <v>3</v>
      </c>
      <c r="N4" s="2">
        <f t="shared" si="3"/>
        <v>1</v>
      </c>
      <c r="O4" s="2">
        <f t="shared" si="0"/>
        <v>8</v>
      </c>
      <c r="P4" s="2" t="str">
        <f>IF($O4=0,"",VLOOKUP($O4,sez!$A$2:$D$259,2))</f>
        <v>Dvorský Vojtěch</v>
      </c>
      <c r="Q4" s="2" t="str">
        <f t="shared" si="4"/>
        <v>3:1 (9,-5,8,4)</v>
      </c>
      <c r="R4" s="2" t="str">
        <f t="shared" si="1"/>
        <v>3:1 (9,-5,8,4)</v>
      </c>
      <c r="T4" s="25">
        <f t="shared" si="5"/>
        <v>1</v>
      </c>
      <c r="U4" s="25">
        <f t="shared" si="5"/>
        <v>-1</v>
      </c>
      <c r="V4" s="25">
        <f t="shared" si="5"/>
        <v>1</v>
      </c>
      <c r="W4" s="25">
        <f t="shared" si="5"/>
        <v>1</v>
      </c>
      <c r="X4" s="25">
        <f t="shared" si="6"/>
        <v>0</v>
      </c>
    </row>
    <row r="5" spans="1:24" ht="12.75">
      <c r="A5" s="131" t="str">
        <f>CONCATENATE("Dvouhra ",úvod!$C$8," - 1.kolo")</f>
        <v>Dvouhra U13 - 1.kolo</v>
      </c>
      <c r="B5" s="131">
        <f>'2.st. M'!$B$16</f>
        <v>28</v>
      </c>
      <c r="C5" s="131" t="str">
        <f>IF($B5=0,"bye",VLOOKUP($B5,sez!$A$2:$D$259,2))</f>
        <v>Veselý Eliáš</v>
      </c>
      <c r="D5" s="131" t="str">
        <f>IF($B5=0,"",VLOOKUP($B5,sez!$A$2:$E$259,4))</f>
        <v>KST Vyškov</v>
      </c>
      <c r="E5" s="131">
        <f>'2.st. M'!$B$18</f>
        <v>4</v>
      </c>
      <c r="F5" s="131" t="str">
        <f>IF($E5=0,"bye",VLOOKUP($E5,sez!$A$2:$D$259,2))</f>
        <v>Štěpánek Adam</v>
      </c>
      <c r="G5" s="131" t="str">
        <f>IF($E5=0,"",VLOOKUP($E5,sez!$A$2:$E$259,4))</f>
        <v>STP Mikulov</v>
      </c>
      <c r="H5" s="66" t="s">
        <v>137</v>
      </c>
      <c r="I5" s="67" t="s">
        <v>135</v>
      </c>
      <c r="J5" s="67" t="s">
        <v>124</v>
      </c>
      <c r="K5" s="67"/>
      <c r="L5" s="68"/>
      <c r="M5" s="2">
        <f t="shared" si="2"/>
        <v>0</v>
      </c>
      <c r="N5" s="2">
        <f t="shared" si="3"/>
        <v>3</v>
      </c>
      <c r="O5" s="2">
        <f t="shared" si="0"/>
        <v>4</v>
      </c>
      <c r="P5" s="2" t="str">
        <f>IF($O5=0,"",VLOOKUP($O5,sez!$A$2:$D$259,2))</f>
        <v>Štěpánek Adam</v>
      </c>
      <c r="Q5" s="2" t="str">
        <f t="shared" si="4"/>
        <v>3:0 (6,5,7)</v>
      </c>
      <c r="R5" s="2" t="str">
        <f t="shared" si="1"/>
        <v>3:0 (6,5,7)</v>
      </c>
      <c r="T5" s="25">
        <f t="shared" si="5"/>
        <v>-1</v>
      </c>
      <c r="U5" s="25">
        <f t="shared" si="5"/>
        <v>-1</v>
      </c>
      <c r="V5" s="25">
        <f t="shared" si="5"/>
        <v>-1</v>
      </c>
      <c r="W5" s="25">
        <f t="shared" si="5"/>
        <v>0</v>
      </c>
      <c r="X5" s="25">
        <f t="shared" si="6"/>
        <v>0</v>
      </c>
    </row>
    <row r="6" spans="1:24" ht="12.75">
      <c r="A6" s="131" t="str">
        <f>CONCATENATE("Dvouhra ",úvod!$C$8," - 1.kolo")</f>
        <v>Dvouhra U13 - 1.kolo</v>
      </c>
      <c r="B6" s="131">
        <f>'2.st. M'!$B$20</f>
        <v>3</v>
      </c>
      <c r="C6" s="131" t="str">
        <f>IF($B6=0,"bye",VLOOKUP($B6,sez!$A$2:$D$259,2))</f>
        <v>Cupák Jakub</v>
      </c>
      <c r="D6" s="131" t="str">
        <f>IF($B6=0,"",VLOOKUP($B6,sez!$A$2:$E$259,4))</f>
        <v>KST FOSFA LVA</v>
      </c>
      <c r="E6" s="131">
        <f>'2.st. M'!$B$22</f>
        <v>13</v>
      </c>
      <c r="F6" s="131" t="str">
        <f>IF($E6=0,"bye",VLOOKUP($E6,sez!$A$2:$D$259,2))</f>
        <v>Tuč Michal</v>
      </c>
      <c r="G6" s="131" t="str">
        <f>IF($E6=0,"",VLOOKUP($E6,sez!$A$2:$E$259,4))</f>
        <v>Sokol Brno I</v>
      </c>
      <c r="H6" s="66" t="s">
        <v>122</v>
      </c>
      <c r="I6" s="67" t="s">
        <v>129</v>
      </c>
      <c r="J6" s="67" t="s">
        <v>132</v>
      </c>
      <c r="K6" s="67"/>
      <c r="L6" s="68"/>
      <c r="M6" s="2">
        <f t="shared" si="2"/>
        <v>3</v>
      </c>
      <c r="N6" s="2">
        <f t="shared" si="3"/>
        <v>0</v>
      </c>
      <c r="O6" s="2">
        <f t="shared" si="0"/>
        <v>3</v>
      </c>
      <c r="P6" s="2" t="str">
        <f>IF($O6=0,"",VLOOKUP($O6,sez!$A$2:$D$259,2))</f>
        <v>Cupák Jakub</v>
      </c>
      <c r="Q6" s="2" t="str">
        <f t="shared" si="4"/>
        <v>3:0 (10,4,3)</v>
      </c>
      <c r="R6" s="2" t="str">
        <f t="shared" si="1"/>
        <v>3:0 (10,4,3)</v>
      </c>
      <c r="T6" s="25">
        <f t="shared" si="5"/>
        <v>1</v>
      </c>
      <c r="U6" s="25">
        <f t="shared" si="5"/>
        <v>1</v>
      </c>
      <c r="V6" s="25">
        <f t="shared" si="5"/>
        <v>1</v>
      </c>
      <c r="W6" s="25">
        <f t="shared" si="5"/>
        <v>0</v>
      </c>
      <c r="X6" s="25">
        <f t="shared" si="6"/>
        <v>0</v>
      </c>
    </row>
    <row r="7" spans="1:24" ht="12.75">
      <c r="A7" s="131" t="str">
        <f>CONCATENATE("Dvouhra ",úvod!$C$8," - 1.kolo")</f>
        <v>Dvouhra U13 - 1.kolo</v>
      </c>
      <c r="B7" s="131">
        <f>'2.st. M'!$B$24</f>
        <v>31</v>
      </c>
      <c r="C7" s="131" t="str">
        <f>IF($B7=0,"bye",VLOOKUP($B7,sez!$A$2:$D$259,2))</f>
        <v>Topinka Vojtěch</v>
      </c>
      <c r="D7" s="131" t="str">
        <f>IF($B7=0,"",VLOOKUP($B7,sez!$A$2:$E$259,4))</f>
        <v>Agrotec Hustopeče</v>
      </c>
      <c r="E7" s="131">
        <f>'2.st. M'!$B$26</f>
        <v>5</v>
      </c>
      <c r="F7" s="131" t="str">
        <f>IF($E7=0,"bye",VLOOKUP($E7,sez!$A$2:$D$259,2))</f>
        <v>Solfronk Adam</v>
      </c>
      <c r="G7" s="131" t="str">
        <f>IF($E7=0,"",VLOOKUP($E7,sez!$A$2:$E$259,4))</f>
        <v>MS Brno</v>
      </c>
      <c r="H7" s="66" t="s">
        <v>124</v>
      </c>
      <c r="I7" s="67" t="s">
        <v>125</v>
      </c>
      <c r="J7" s="67" t="s">
        <v>137</v>
      </c>
      <c r="K7" s="67"/>
      <c r="L7" s="68"/>
      <c r="M7" s="2">
        <f t="shared" si="2"/>
        <v>0</v>
      </c>
      <c r="N7" s="2">
        <f t="shared" si="3"/>
        <v>3</v>
      </c>
      <c r="O7" s="2">
        <f t="shared" si="0"/>
        <v>5</v>
      </c>
      <c r="P7" s="2" t="str">
        <f>IF($O7=0,"",VLOOKUP($O7,sez!$A$2:$D$259,2))</f>
        <v>Solfronk Adam</v>
      </c>
      <c r="Q7" s="2" t="str">
        <f t="shared" si="4"/>
        <v>3:0 (7,3,6)</v>
      </c>
      <c r="R7" s="2" t="str">
        <f t="shared" si="1"/>
        <v>3:0 (7,3,6)</v>
      </c>
      <c r="T7" s="25">
        <f t="shared" si="5"/>
        <v>-1</v>
      </c>
      <c r="U7" s="25">
        <f t="shared" si="5"/>
        <v>-1</v>
      </c>
      <c r="V7" s="25">
        <f t="shared" si="5"/>
        <v>-1</v>
      </c>
      <c r="W7" s="25">
        <f t="shared" si="5"/>
        <v>0</v>
      </c>
      <c r="X7" s="25">
        <f t="shared" si="6"/>
        <v>0</v>
      </c>
    </row>
    <row r="8" spans="1:24" ht="12.75">
      <c r="A8" s="131" t="str">
        <f>CONCATENATE("Dvouhra ",úvod!$C$8," - 1.kolo")</f>
        <v>Dvouhra U13 - 1.kolo</v>
      </c>
      <c r="B8" s="131">
        <f>'2.st. M'!$B$28</f>
        <v>9</v>
      </c>
      <c r="C8" s="131" t="str">
        <f>IF($B8=0,"bye",VLOOKUP($B8,sez!$A$2:$D$259,2))</f>
        <v>Macánek Martin</v>
      </c>
      <c r="D8" s="131" t="str">
        <f>IF($B8=0,"",VLOOKUP($B8,sez!$A$2:$E$259,4))</f>
        <v>SKST Hodonín</v>
      </c>
      <c r="E8" s="131">
        <f>'2.st. M'!$B$30</f>
        <v>11</v>
      </c>
      <c r="F8" s="131" t="str">
        <f>IF($E8=0,"bye",VLOOKUP($E8,sez!$A$2:$D$259,2))</f>
        <v>Barták Lukáš</v>
      </c>
      <c r="G8" s="131" t="str">
        <f>IF($E8=0,"",VLOOKUP($E8,sez!$A$2:$E$259,4))</f>
        <v>KST Kunštát</v>
      </c>
      <c r="H8" s="66" t="s">
        <v>123</v>
      </c>
      <c r="I8" s="67" t="s">
        <v>137</v>
      </c>
      <c r="J8" s="67" t="s">
        <v>130</v>
      </c>
      <c r="K8" s="67" t="s">
        <v>120</v>
      </c>
      <c r="L8" s="68" t="s">
        <v>145</v>
      </c>
      <c r="M8" s="2">
        <f t="shared" si="2"/>
        <v>2</v>
      </c>
      <c r="N8" s="2">
        <f t="shared" si="3"/>
        <v>3</v>
      </c>
      <c r="O8" s="2">
        <f t="shared" si="0"/>
        <v>11</v>
      </c>
      <c r="P8" s="2" t="str">
        <f>IF($O8=0,"",VLOOKUP($O8,sez!$A$2:$D$259,2))</f>
        <v>Barták Lukáš</v>
      </c>
      <c r="Q8" s="2" t="str">
        <f t="shared" si="4"/>
        <v>3:2 (-5,6,-8,9,11)</v>
      </c>
      <c r="R8" s="2" t="str">
        <f t="shared" si="1"/>
        <v>3:2 (-5,6,-8,9,11)</v>
      </c>
      <c r="T8" s="25">
        <f t="shared" si="5"/>
        <v>1</v>
      </c>
      <c r="U8" s="25">
        <f t="shared" si="5"/>
        <v>-1</v>
      </c>
      <c r="V8" s="25">
        <f t="shared" si="5"/>
        <v>1</v>
      </c>
      <c r="W8" s="25">
        <f t="shared" si="5"/>
        <v>-1</v>
      </c>
      <c r="X8" s="25">
        <f t="shared" si="6"/>
        <v>-1</v>
      </c>
    </row>
    <row r="9" spans="1:24" ht="13.5" thickBot="1">
      <c r="A9" s="131" t="str">
        <f>CONCATENATE("Dvouhra ",úvod!$C$8," - 1.kolo")</f>
        <v>Dvouhra U13 - 1.kolo</v>
      </c>
      <c r="B9" s="131">
        <f>'2.st. M'!$B$32</f>
        <v>12</v>
      </c>
      <c r="C9" s="131" t="str">
        <f>IF($B9=0,"bye",VLOOKUP($B9,sez!$A$2:$D$259,2))</f>
        <v>Jež Vítek</v>
      </c>
      <c r="D9" s="131" t="str">
        <f>IF($B9=0,"",VLOOKUP($B9,sez!$A$2:$E$259,4))</f>
        <v>STP Mikulov</v>
      </c>
      <c r="E9" s="131">
        <f>'2.st. M'!$B$34</f>
        <v>2</v>
      </c>
      <c r="F9" s="131" t="str">
        <f>IF($E9=0,"bye",VLOOKUP($E9,sez!$A$2:$D$259,2))</f>
        <v>Vokřínek Tomáš</v>
      </c>
      <c r="G9" s="131" t="str">
        <f>IF($E9=0,"",VLOOKUP($E9,sez!$A$2:$E$259,4))</f>
        <v>MS Brno</v>
      </c>
      <c r="H9" s="69" t="s">
        <v>125</v>
      </c>
      <c r="I9" s="70" t="s">
        <v>126</v>
      </c>
      <c r="J9" s="70" t="s">
        <v>133</v>
      </c>
      <c r="K9" s="70"/>
      <c r="L9" s="71"/>
      <c r="M9" s="2">
        <f t="shared" si="2"/>
        <v>0</v>
      </c>
      <c r="N9" s="2">
        <f t="shared" si="3"/>
        <v>3</v>
      </c>
      <c r="O9" s="2">
        <f t="shared" si="0"/>
        <v>2</v>
      </c>
      <c r="P9" s="2" t="str">
        <f>IF($O9=0,"",VLOOKUP($O9,sez!$A$2:$D$259,2))</f>
        <v>Vokřínek Tomáš</v>
      </c>
      <c r="Q9" s="2" t="str">
        <f t="shared" si="4"/>
        <v>3:0 (3,4,8)</v>
      </c>
      <c r="R9" s="2" t="str">
        <f t="shared" si="1"/>
        <v>3:0 (3,4,8)</v>
      </c>
      <c r="T9" s="25">
        <f t="shared" si="5"/>
        <v>-1</v>
      </c>
      <c r="U9" s="25">
        <f t="shared" si="5"/>
        <v>-1</v>
      </c>
      <c r="V9" s="25">
        <f t="shared" si="5"/>
        <v>-1</v>
      </c>
      <c r="W9" s="25">
        <f t="shared" si="5"/>
        <v>0</v>
      </c>
      <c r="X9" s="25">
        <f t="shared" si="6"/>
        <v>0</v>
      </c>
    </row>
    <row r="10" spans="8:12" ht="14.25" thickBot="1" thickTop="1">
      <c r="H10" s="19"/>
      <c r="I10" s="19"/>
      <c r="J10" s="19"/>
      <c r="K10" s="19"/>
      <c r="L10" s="19"/>
    </row>
    <row r="11" spans="1:24" ht="13.5" thickTop="1">
      <c r="A11" s="2" t="str">
        <f>CONCATENATE("Dvouhra ",úvod!$C$8," - 2.kolo")</f>
        <v>Dvouhra U13 - 2.kolo</v>
      </c>
      <c r="B11" s="2">
        <f>O2</f>
        <v>1</v>
      </c>
      <c r="C11" s="2" t="str">
        <f>IF($B11=0,"",VLOOKUP($B11,sez!$A$2:$D$259,2))</f>
        <v>Flajšar Pavel</v>
      </c>
      <c r="D11" s="2" t="str">
        <f>IF($B11=0,"",VLOOKUP($B11,sez!$A$2:$E$259,4))</f>
        <v>SKST N. Lískovec</v>
      </c>
      <c r="E11" s="2">
        <f>O3</f>
        <v>7</v>
      </c>
      <c r="F11" s="2" t="str">
        <f>IF($E11=0,"",VLOOKUP($E11,sez!$A$2:$D$259,2))</f>
        <v>Herman Jan</v>
      </c>
      <c r="G11" s="2" t="str">
        <f>IF($E11=0,"",VLOOKUP($E11,sez!$A$2:$E$259,4))</f>
        <v>KST FOSFA LVA</v>
      </c>
      <c r="H11" s="63" t="s">
        <v>129</v>
      </c>
      <c r="I11" s="64" t="s">
        <v>128</v>
      </c>
      <c r="J11" s="64" t="s">
        <v>129</v>
      </c>
      <c r="K11" s="64"/>
      <c r="L11" s="65"/>
      <c r="M11" s="2">
        <f>COUNTIF(T11:X11,"&gt;0")</f>
        <v>3</v>
      </c>
      <c r="N11" s="2">
        <f>COUNTIF(T11:X11,"&lt;0")</f>
        <v>0</v>
      </c>
      <c r="O11" s="2">
        <f>IF(M11=N11,0,IF(M11&gt;N11,B11,E11))</f>
        <v>1</v>
      </c>
      <c r="P11" s="2" t="str">
        <f>IF($O11=0,"",VLOOKUP($O11,sez!$A$2:$D$259,2))</f>
        <v>Flajšar Pavel</v>
      </c>
      <c r="Q11" s="2" t="str">
        <f>IF(M11=N11,"",IF(M11&gt;N11,CONCATENATE(M11,":",N11," (",H11,",",I11,",",J11,IF(SUM(M11:N11)&gt;3,",",""),K11,IF(SUM(M11:N11)&gt;4,",",""),L11,")"),CONCATENATE(N11,":",M11," (",IF(H11="0","-0",-H11),",",IF(I11="0","-0",-I11),",",IF(J11="0","-0",-J11),IF(SUM(M11:N11)&gt;3,CONCATENATE(",",IF(K11="0","-0",-K11)),""),IF(SUM(M11:N11)&gt;4,CONCATENATE(",",IF(L11="0","-0",-L11)),""),")")))</f>
        <v>3:0 (4,2,4)</v>
      </c>
      <c r="R11" s="2" t="str">
        <f t="shared" si="1"/>
        <v>3:0 (4,2,4)</v>
      </c>
      <c r="T11" s="25">
        <f aca="true" t="shared" si="7" ref="T11:X14">IF(H11="",0,IF(MID(H11,1,1)="-",-1,1))</f>
        <v>1</v>
      </c>
      <c r="U11" s="25">
        <f t="shared" si="7"/>
        <v>1</v>
      </c>
      <c r="V11" s="25">
        <f t="shared" si="7"/>
        <v>1</v>
      </c>
      <c r="W11" s="25">
        <f t="shared" si="7"/>
        <v>0</v>
      </c>
      <c r="X11" s="25">
        <f t="shared" si="7"/>
        <v>0</v>
      </c>
    </row>
    <row r="12" spans="1:24" ht="12.75">
      <c r="A12" s="2" t="str">
        <f>CONCATENATE("Dvouhra ",úvod!$C$8," - 2.kolo")</f>
        <v>Dvouhra U13 - 2.kolo</v>
      </c>
      <c r="B12" s="2">
        <f>O4</f>
        <v>8</v>
      </c>
      <c r="C12" s="2" t="str">
        <f>IF($B12=0,"",VLOOKUP($B12,sez!$A$2:$D$259,2))</f>
        <v>Dvorský Vojtěch</v>
      </c>
      <c r="D12" s="2" t="str">
        <f>IF($B12=0,"",VLOOKUP($B12,sez!$A$2:$E$259,4))</f>
        <v>MS Brno</v>
      </c>
      <c r="E12" s="2">
        <f>O5</f>
        <v>4</v>
      </c>
      <c r="F12" s="2" t="str">
        <f>IF($E12=0,"",VLOOKUP($E12,sez!$A$2:$D$259,2))</f>
        <v>Štěpánek Adam</v>
      </c>
      <c r="G12" s="2" t="str">
        <f>IF($E12=0,"",VLOOKUP($E12,sez!$A$2:$E$259,4))</f>
        <v>STP Mikulov</v>
      </c>
      <c r="H12" s="66" t="s">
        <v>139</v>
      </c>
      <c r="I12" s="67" t="s">
        <v>120</v>
      </c>
      <c r="J12" s="67" t="s">
        <v>135</v>
      </c>
      <c r="K12" s="67"/>
      <c r="L12" s="68"/>
      <c r="M12" s="2">
        <f>COUNTIF(T12:X12,"&gt;0")</f>
        <v>0</v>
      </c>
      <c r="N12" s="2">
        <f>COUNTIF(T12:X12,"&lt;0")</f>
        <v>3</v>
      </c>
      <c r="O12" s="2">
        <f>IF(M12=N12,0,IF(M12&gt;N12,B12,E12))</f>
        <v>4</v>
      </c>
      <c r="P12" s="2" t="str">
        <f>IF($O12=0,"",VLOOKUP($O12,sez!$A$2:$D$259,2))</f>
        <v>Štěpánek Adam</v>
      </c>
      <c r="Q12" s="2" t="str">
        <f>IF(M12=N12,"",IF(M12&gt;N12,CONCATENATE(M12,":",N12," (",H12,",",I12,",",J12,IF(SUM(M12:N12)&gt;3,",",""),K12,IF(SUM(M12:N12)&gt;4,",",""),L12,")"),CONCATENATE(N12,":",M12," (",IF(H12="0","-0",-H12),",",IF(I12="0","-0",-I12),",",IF(J12="0","-0",-J12),IF(SUM(M12:N12)&gt;3,CONCATENATE(",",IF(K12="0","-0",-K12)),""),IF(SUM(M12:N12)&gt;4,CONCATENATE(",",IF(L12="0","-0",-L12)),""),")")))</f>
        <v>3:0 (10,9,5)</v>
      </c>
      <c r="R12" s="2" t="str">
        <f t="shared" si="1"/>
        <v>3:0 (10,9,5)</v>
      </c>
      <c r="T12" s="25">
        <f t="shared" si="7"/>
        <v>-1</v>
      </c>
      <c r="U12" s="25">
        <f t="shared" si="7"/>
        <v>-1</v>
      </c>
      <c r="V12" s="25">
        <f t="shared" si="7"/>
        <v>-1</v>
      </c>
      <c r="W12" s="25">
        <f t="shared" si="7"/>
        <v>0</v>
      </c>
      <c r="X12" s="25">
        <f t="shared" si="7"/>
        <v>0</v>
      </c>
    </row>
    <row r="13" spans="1:24" ht="12.75">
      <c r="A13" s="2" t="str">
        <f>CONCATENATE("Dvouhra ",úvod!$C$8," - 2.kolo")</f>
        <v>Dvouhra U13 - 2.kolo</v>
      </c>
      <c r="B13" s="2">
        <f>O6</f>
        <v>3</v>
      </c>
      <c r="C13" s="2" t="str">
        <f>IF($B13=0,"",VLOOKUP($B13,sez!$A$2:$D$259,2))</f>
        <v>Cupák Jakub</v>
      </c>
      <c r="D13" s="2" t="str">
        <f>IF($B13=0,"",VLOOKUP($B13,sez!$A$2:$E$259,4))</f>
        <v>KST FOSFA LVA</v>
      </c>
      <c r="E13" s="2">
        <f>O7</f>
        <v>5</v>
      </c>
      <c r="F13" s="2" t="str">
        <f>IF($E13=0,"",VLOOKUP($E13,sez!$A$2:$D$259,2))</f>
        <v>Solfronk Adam</v>
      </c>
      <c r="G13" s="2" t="str">
        <f>IF($E13=0,"",VLOOKUP($E13,sez!$A$2:$E$259,4))</f>
        <v>MS Brno</v>
      </c>
      <c r="H13" s="66" t="s">
        <v>139</v>
      </c>
      <c r="I13" s="67" t="s">
        <v>137</v>
      </c>
      <c r="J13" s="67" t="s">
        <v>133</v>
      </c>
      <c r="K13" s="67"/>
      <c r="L13" s="68"/>
      <c r="M13" s="2">
        <f>COUNTIF(T13:X13,"&gt;0")</f>
        <v>0</v>
      </c>
      <c r="N13" s="2">
        <f>COUNTIF(T13:X13,"&lt;0")</f>
        <v>3</v>
      </c>
      <c r="O13" s="2">
        <f>IF(M13=N13,0,IF(M13&gt;N13,B13,E13))</f>
        <v>5</v>
      </c>
      <c r="P13" s="2" t="str">
        <f>IF($O13=0,"",VLOOKUP($O13,sez!$A$2:$D$259,2))</f>
        <v>Solfronk Adam</v>
      </c>
      <c r="Q13" s="2" t="str">
        <f>IF(M13=N13,"",IF(M13&gt;N13,CONCATENATE(M13,":",N13," (",H13,",",I13,",",J13,IF(SUM(M13:N13)&gt;3,",",""),K13,IF(SUM(M13:N13)&gt;4,",",""),L13,")"),CONCATENATE(N13,":",M13," (",IF(H13="0","-0",-H13),",",IF(I13="0","-0",-I13),",",IF(J13="0","-0",-J13),IF(SUM(M13:N13)&gt;3,CONCATENATE(",",IF(K13="0","-0",-K13)),""),IF(SUM(M13:N13)&gt;4,CONCATENATE(",",IF(L13="0","-0",-L13)),""),")")))</f>
        <v>3:0 (10,6,8)</v>
      </c>
      <c r="R13" s="2" t="str">
        <f t="shared" si="1"/>
        <v>3:0 (10,6,8)</v>
      </c>
      <c r="T13" s="25">
        <f t="shared" si="7"/>
        <v>-1</v>
      </c>
      <c r="U13" s="25">
        <f t="shared" si="7"/>
        <v>-1</v>
      </c>
      <c r="V13" s="25">
        <f t="shared" si="7"/>
        <v>-1</v>
      </c>
      <c r="W13" s="25">
        <f t="shared" si="7"/>
        <v>0</v>
      </c>
      <c r="X13" s="25">
        <f t="shared" si="7"/>
        <v>0</v>
      </c>
    </row>
    <row r="14" spans="1:24" ht="13.5" thickBot="1">
      <c r="A14" s="2" t="str">
        <f>CONCATENATE("Dvouhra ",úvod!$C$8," - 2.kolo")</f>
        <v>Dvouhra U13 - 2.kolo</v>
      </c>
      <c r="B14" s="2">
        <f>O8</f>
        <v>11</v>
      </c>
      <c r="C14" s="2" t="str">
        <f>IF($B14=0,"",VLOOKUP($B14,sez!$A$2:$D$259,2))</f>
        <v>Barták Lukáš</v>
      </c>
      <c r="D14" s="2" t="str">
        <f>IF($B14=0,"",VLOOKUP($B14,sez!$A$2:$E$259,4))</f>
        <v>KST Kunštát</v>
      </c>
      <c r="E14" s="2">
        <f>O9</f>
        <v>2</v>
      </c>
      <c r="F14" s="2" t="str">
        <f>IF($E14=0,"",VLOOKUP($E14,sez!$A$2:$D$259,2))</f>
        <v>Vokřínek Tomáš</v>
      </c>
      <c r="G14" s="2" t="str">
        <f>IF($E14=0,"",VLOOKUP($E14,sez!$A$2:$E$259,4))</f>
        <v>MS Brno</v>
      </c>
      <c r="H14" s="69" t="s">
        <v>139</v>
      </c>
      <c r="I14" s="70" t="s">
        <v>133</v>
      </c>
      <c r="J14" s="70" t="s">
        <v>142</v>
      </c>
      <c r="K14" s="70"/>
      <c r="L14" s="71"/>
      <c r="M14" s="2">
        <f>COUNTIF(T14:X14,"&gt;0")</f>
        <v>0</v>
      </c>
      <c r="N14" s="2">
        <f>COUNTIF(T14:X14,"&lt;0")</f>
        <v>3</v>
      </c>
      <c r="O14" s="2">
        <f>IF(M14=N14,0,IF(M14&gt;N14,B14,E14))</f>
        <v>2</v>
      </c>
      <c r="P14" s="2" t="str">
        <f>IF($O14=0,"",VLOOKUP($O14,sez!$A$2:$D$259,2))</f>
        <v>Vokřínek Tomáš</v>
      </c>
      <c r="Q14" s="2" t="str">
        <f>IF(M14=N14,"",IF(M14&gt;N14,CONCATENATE(M14,":",N14," (",H14,",",I14,",",J14,IF(SUM(M14:N14)&gt;3,",",""),K14,IF(SUM(M14:N14)&gt;4,",",""),L14,")"),CONCATENATE(N14,":",M14," (",IF(H14="0","-0",-H14),",",IF(I14="0","-0",-I14),",",IF(J14="0","-0",-J14),IF(SUM(M14:N14)&gt;3,CONCATENATE(",",IF(K14="0","-0",-K14)),""),IF(SUM(M14:N14)&gt;4,CONCATENATE(",",IF(L14="0","-0",-L14)),""),")")))</f>
        <v>3:0 (10,8,1)</v>
      </c>
      <c r="R14" s="2" t="str">
        <f t="shared" si="1"/>
        <v>3:0 (10,8,1)</v>
      </c>
      <c r="T14" s="25">
        <f t="shared" si="7"/>
        <v>-1</v>
      </c>
      <c r="U14" s="25">
        <f t="shared" si="7"/>
        <v>-1</v>
      </c>
      <c r="V14" s="25">
        <f t="shared" si="7"/>
        <v>-1</v>
      </c>
      <c r="W14" s="25">
        <f t="shared" si="7"/>
        <v>0</v>
      </c>
      <c r="X14" s="25">
        <f t="shared" si="7"/>
        <v>0</v>
      </c>
    </row>
    <row r="15" spans="8:12" ht="14.25" thickBot="1" thickTop="1">
      <c r="H15" s="19"/>
      <c r="I15" s="19"/>
      <c r="J15" s="19"/>
      <c r="K15" s="19"/>
      <c r="L15" s="19"/>
    </row>
    <row r="16" spans="1:24" ht="13.5" thickTop="1">
      <c r="A16" s="2" t="str">
        <f>CONCATENATE("Dvouhra ",úvod!$C$8," - semifinále")</f>
        <v>Dvouhra U13 - semifinále</v>
      </c>
      <c r="B16" s="2">
        <f>O11</f>
        <v>1</v>
      </c>
      <c r="C16" s="2" t="str">
        <f>IF($B16=0,"",VLOOKUP($B16,sez!$A$2:$D$259,2))</f>
        <v>Flajšar Pavel</v>
      </c>
      <c r="D16" s="2" t="str">
        <f>IF($B16=0,"",VLOOKUP($B16,sez!$A$2:$E$259,4))</f>
        <v>SKST N. Lískovec</v>
      </c>
      <c r="E16" s="2">
        <f>O12</f>
        <v>4</v>
      </c>
      <c r="F16" s="2" t="str">
        <f>IF($E16=0,"",VLOOKUP($E16,sez!$A$2:$D$259,2))</f>
        <v>Štěpánek Adam</v>
      </c>
      <c r="G16" s="2" t="str">
        <f>IF($E16=0,"",VLOOKUP($E16,sez!$A$2:$E$259,4))</f>
        <v>STP Mikulov</v>
      </c>
      <c r="H16" s="63" t="s">
        <v>132</v>
      </c>
      <c r="I16" s="64" t="s">
        <v>136</v>
      </c>
      <c r="J16" s="64" t="s">
        <v>130</v>
      </c>
      <c r="K16" s="64"/>
      <c r="L16" s="65"/>
      <c r="M16" s="2">
        <f>COUNTIF(T16:X16,"&gt;0")</f>
        <v>3</v>
      </c>
      <c r="N16" s="2">
        <f>COUNTIF(T16:X16,"&lt;0")</f>
        <v>0</v>
      </c>
      <c r="O16" s="2">
        <f>IF(M16=N16,0,IF(M16&gt;N16,B16,E16))</f>
        <v>1</v>
      </c>
      <c r="P16" s="2" t="str">
        <f>IF($O16=0,"",VLOOKUP($O16,sez!$A$2:$D$259,2))</f>
        <v>Flajšar Pavel</v>
      </c>
      <c r="Q16" s="2" t="str">
        <f>IF(M16=N16,"",IF(M16&gt;N16,CONCATENATE(M16,":",N16," (",H16,",",I16,",",J16,IF(SUM(M16:N16)&gt;3,",",""),K16,IF(SUM(M16:N16)&gt;4,",",""),L16,")"),CONCATENATE(N16,":",M16," (",IF(H16="0","-0",-H16),",",IF(I16="0","-0",-I16),",",IF(J16="0","-0",-J16),IF(SUM(M16:N16)&gt;3,CONCATENATE(",",IF(K16="0","-0",-K16)),""),IF(SUM(M16:N16)&gt;4,CONCATENATE(",",IF(L16="0","-0",-L16)),""),")")))</f>
        <v>3:0 (3,1,8)</v>
      </c>
      <c r="R16" s="2" t="str">
        <f t="shared" si="1"/>
        <v>3:0 (3,1,8)</v>
      </c>
      <c r="T16" s="25">
        <f aca="true" t="shared" si="8" ref="T16:X17">IF(H16="",0,IF(MID(H16,1,1)="-",-1,1))</f>
        <v>1</v>
      </c>
      <c r="U16" s="25">
        <f t="shared" si="8"/>
        <v>1</v>
      </c>
      <c r="V16" s="25">
        <f t="shared" si="8"/>
        <v>1</v>
      </c>
      <c r="W16" s="25">
        <f t="shared" si="8"/>
        <v>0</v>
      </c>
      <c r="X16" s="25">
        <f t="shared" si="8"/>
        <v>0</v>
      </c>
    </row>
    <row r="17" spans="1:24" ht="13.5" thickBot="1">
      <c r="A17" s="2" t="str">
        <f>CONCATENATE("Dvouhra ",úvod!$C$8," - semifinále")</f>
        <v>Dvouhra U13 - semifinále</v>
      </c>
      <c r="B17" s="2">
        <f>O13</f>
        <v>5</v>
      </c>
      <c r="C17" s="2" t="str">
        <f>IF($B17=0,"",VLOOKUP($B17,sez!$A$2:$D$259,2))</f>
        <v>Solfronk Adam</v>
      </c>
      <c r="D17" s="2" t="str">
        <f>IF($B17=0,"",VLOOKUP($B17,sez!$A$2:$E$259,4))</f>
        <v>MS Brno</v>
      </c>
      <c r="E17" s="2">
        <f>O14</f>
        <v>2</v>
      </c>
      <c r="F17" s="2" t="str">
        <f>IF($E17=0,"",VLOOKUP($E17,sez!$A$2:$D$259,2))</f>
        <v>Vokřínek Tomáš</v>
      </c>
      <c r="G17" s="2" t="str">
        <f>IF($E17=0,"",VLOOKUP($E17,sez!$A$2:$E$259,4))</f>
        <v>MS Brno</v>
      </c>
      <c r="H17" s="69" t="s">
        <v>120</v>
      </c>
      <c r="I17" s="70" t="s">
        <v>130</v>
      </c>
      <c r="J17" s="70" t="s">
        <v>120</v>
      </c>
      <c r="K17" s="70" t="s">
        <v>121</v>
      </c>
      <c r="L17" s="71" t="s">
        <v>135</v>
      </c>
      <c r="M17" s="2">
        <f>COUNTIF(T17:X17,"&gt;0")</f>
        <v>2</v>
      </c>
      <c r="N17" s="2">
        <f>COUNTIF(T17:X17,"&lt;0")</f>
        <v>3</v>
      </c>
      <c r="O17" s="2">
        <f>IF(M17=N17,0,IF(M17&gt;N17,B17,E17))</f>
        <v>2</v>
      </c>
      <c r="P17" s="2" t="str">
        <f>IF($O17=0,"",VLOOKUP($O17,sez!$A$2:$D$259,2))</f>
        <v>Vokřínek Tomáš</v>
      </c>
      <c r="Q17" s="2" t="str">
        <f>IF(M17=N17,"",IF(M17&gt;N17,CONCATENATE(M17,":",N17," (",H17,",",I17,",",J17,IF(SUM(M17:N17)&gt;3,",",""),K17,IF(SUM(M17:N17)&gt;4,",",""),L17,")"),CONCATENATE(N17,":",M17," (",IF(H17="0","-0",-H17),",",IF(I17="0","-0",-I17),",",IF(J17="0","-0",-J17),IF(SUM(M17:N17)&gt;3,CONCATENATE(",",IF(K17="0","-0",-K17)),""),IF(SUM(M17:N17)&gt;4,CONCATENATE(",",IF(L17="0","-0",-L17)),""),")")))</f>
        <v>3:2 (9,-8,9,-9,5)</v>
      </c>
      <c r="R17" s="2" t="str">
        <f t="shared" si="1"/>
        <v>3:2 (9,-8,9,-9,5)</v>
      </c>
      <c r="T17" s="25">
        <f t="shared" si="8"/>
        <v>-1</v>
      </c>
      <c r="U17" s="25">
        <f t="shared" si="8"/>
        <v>1</v>
      </c>
      <c r="V17" s="25">
        <f t="shared" si="8"/>
        <v>-1</v>
      </c>
      <c r="W17" s="25">
        <f t="shared" si="8"/>
        <v>1</v>
      </c>
      <c r="X17" s="25">
        <f t="shared" si="8"/>
        <v>-1</v>
      </c>
    </row>
    <row r="18" spans="8:12" ht="14.25" thickBot="1" thickTop="1">
      <c r="H18" s="19"/>
      <c r="I18" s="19"/>
      <c r="J18" s="19"/>
      <c r="K18" s="19"/>
      <c r="L18" s="19"/>
    </row>
    <row r="19" spans="1:24" ht="14.25" thickBot="1" thickTop="1">
      <c r="A19" s="2" t="str">
        <f>CONCATENATE("Dvouhra ",úvod!$C$8," - finále")</f>
        <v>Dvouhra U13 - finále</v>
      </c>
      <c r="B19" s="2">
        <f>O16</f>
        <v>1</v>
      </c>
      <c r="C19" s="2" t="str">
        <f>IF($B19=0,"",VLOOKUP($B19,sez!$A$2:$D$259,2))</f>
        <v>Flajšar Pavel</v>
      </c>
      <c r="D19" s="2" t="str">
        <f>IF($B19=0,"",VLOOKUP($B19,sez!$A$2:$E$259,4))</f>
        <v>SKST N. Lískovec</v>
      </c>
      <c r="E19" s="2">
        <f>O17</f>
        <v>2</v>
      </c>
      <c r="F19" s="2" t="str">
        <f>IF($E19=0,"",VLOOKUP($E19,sez!$A$2:$D$259,2))</f>
        <v>Vokřínek Tomáš</v>
      </c>
      <c r="G19" s="2" t="str">
        <f>IF($E19=0,"",VLOOKUP($E19,sez!$A$2:$E$259,4))</f>
        <v>MS Brno</v>
      </c>
      <c r="H19" s="72" t="s">
        <v>131</v>
      </c>
      <c r="I19" s="73" t="s">
        <v>132</v>
      </c>
      <c r="J19" s="73" t="s">
        <v>144</v>
      </c>
      <c r="K19" s="73"/>
      <c r="L19" s="74"/>
      <c r="M19" s="2">
        <f>COUNTIF(T19:X19,"&gt;0")</f>
        <v>3</v>
      </c>
      <c r="N19" s="2">
        <f>COUNTIF(T19:X19,"&lt;0")</f>
        <v>0</v>
      </c>
      <c r="O19" s="2">
        <f>IF(M19=N19,0,IF(M19&gt;N19,B19,E19))</f>
        <v>1</v>
      </c>
      <c r="P19" s="2" t="str">
        <f>IF($O19=0,"",VLOOKUP($O19,sez!$A$2:$D$259,2))</f>
        <v>Flajšar Pavel</v>
      </c>
      <c r="Q19" s="2" t="str">
        <f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  <v>3:0 (6,3,11)</v>
      </c>
      <c r="R19" s="2" t="str">
        <f t="shared" si="1"/>
        <v>3:0 (6,3,11)</v>
      </c>
      <c r="T19" s="25">
        <f>IF(H19="",0,IF(MID(H19,1,1)="-",-1,1))</f>
        <v>1</v>
      </c>
      <c r="U19" s="25">
        <f>IF(I19="",0,IF(MID(I19,1,1)="-",-1,1))</f>
        <v>1</v>
      </c>
      <c r="V19" s="25">
        <f>IF(J19="",0,IF(MID(J19,1,1)="-",-1,1))</f>
        <v>1</v>
      </c>
      <c r="W19" s="25">
        <f>IF(K19="",0,IF(MID(K19,1,1)="-",-1,1))</f>
        <v>0</v>
      </c>
      <c r="X19" s="25">
        <f>IF(L19="",0,IF(MID(L19,1,1)="-",-1,1))</f>
        <v>0</v>
      </c>
    </row>
    <row r="20" spans="8:12" ht="13.5" thickTop="1">
      <c r="H20" s="19"/>
      <c r="I20" s="19"/>
      <c r="J20" s="19"/>
      <c r="K20" s="19"/>
      <c r="L20" s="19"/>
    </row>
    <row r="21" spans="3:4" ht="12.75">
      <c r="C21" s="2">
        <f>IF($B21=0,"",VLOOKUP($B21,sez!$A$2:$D$259,2))</f>
      </c>
      <c r="D21" s="2">
        <f>IF($B21=0,"",VLOOKUP($B21,sez!$A$2:$D$259,3))</f>
      </c>
    </row>
    <row r="22" spans="3:4" ht="12.75">
      <c r="C22" s="2">
        <f>IF($B22=0,"",VLOOKUP($B22,sez!$A$2:$D$259,2))</f>
      </c>
      <c r="D22" s="2">
        <f>IF($B22=0,"",VLOOKUP($B22,sez!$A$2:$D$259,3))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Pavel Jamný</cp:lastModifiedBy>
  <cp:lastPrinted>2024-01-28T10:58:44Z</cp:lastPrinted>
  <dcterms:created xsi:type="dcterms:W3CDTF">2002-02-19T15:28:55Z</dcterms:created>
  <dcterms:modified xsi:type="dcterms:W3CDTF">2024-01-28T14:20:08Z</dcterms:modified>
  <cp:category/>
  <cp:version/>
  <cp:contentType/>
  <cp:contentStatus/>
</cp:coreProperties>
</file>